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0" windowWidth="20100" windowHeight="8430"/>
  </bookViews>
  <sheets>
    <sheet name="в отчет" sheetId="13" r:id="rId1"/>
    <sheet name="основные объемы" sheetId="12" r:id="rId2"/>
    <sheet name="кс-3" sheetId="3" r:id="rId3"/>
    <sheet name="Лист1" sheetId="4" r:id="rId4"/>
    <sheet name="Лист2" sheetId="5" r:id="rId5"/>
    <sheet name="Лист3" sheetId="6" r:id="rId6"/>
    <sheet name="Лист4" sheetId="7" r:id="rId7"/>
    <sheet name="Лист5" sheetId="8" r:id="rId8"/>
    <sheet name="Лист6" sheetId="9" r:id="rId9"/>
    <sheet name="Лист7" sheetId="10" r:id="rId10"/>
    <sheet name="Лист8" sheetId="11" r:id="rId11"/>
  </sheets>
  <calcPr calcId="145621" fullPrecision="0"/>
</workbook>
</file>

<file path=xl/calcChain.xml><?xml version="1.0" encoding="utf-8"?>
<calcChain xmlns="http://schemas.openxmlformats.org/spreadsheetml/2006/main">
  <c r="C66" i="13"/>
  <c r="C76"/>
  <c r="J23" i="9"/>
  <c r="J84" i="5"/>
  <c r="G148" i="12" l="1"/>
  <c r="H103"/>
  <c r="J36" i="4"/>
  <c r="J32"/>
  <c r="J31"/>
  <c r="J29"/>
  <c r="J28"/>
  <c r="J25"/>
  <c r="J24"/>
  <c r="J23"/>
  <c r="G264" i="8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63" s="1"/>
  <c r="G56" i="4"/>
  <c r="F54"/>
  <c r="G54" s="1"/>
  <c r="E52"/>
  <c r="E53" s="1"/>
  <c r="G53" s="1"/>
  <c r="E51"/>
  <c r="G51" s="1"/>
  <c r="G50"/>
  <c r="G49"/>
  <c r="E46"/>
  <c r="E47" s="1"/>
  <c r="G286" i="10"/>
  <c r="F284"/>
  <c r="G284" s="1"/>
  <c r="G283"/>
  <c r="G282"/>
  <c r="G281"/>
  <c r="G280"/>
  <c r="G279"/>
  <c r="G278"/>
  <c r="G277"/>
  <c r="E277"/>
  <c r="G276"/>
  <c r="G275"/>
  <c r="G274"/>
  <c r="E274"/>
  <c r="G273"/>
  <c r="E273"/>
  <c r="G272"/>
  <c r="E272"/>
  <c r="G271"/>
  <c r="E271"/>
  <c r="G270"/>
  <c r="E269"/>
  <c r="G269" s="1"/>
  <c r="E268"/>
  <c r="G268" s="1"/>
  <c r="E267"/>
  <c r="G267" s="1"/>
  <c r="G266"/>
  <c r="E265"/>
  <c r="G265" s="1"/>
  <c r="E264"/>
  <c r="G264" s="1"/>
  <c r="E263"/>
  <c r="G263" s="1"/>
  <c r="E262"/>
  <c r="G262" s="1"/>
  <c r="G285" s="1"/>
  <c r="G200" i="8"/>
  <c r="G201" s="1"/>
  <c r="G113" i="7"/>
  <c r="F111"/>
  <c r="E111"/>
  <c r="G111" s="1"/>
  <c r="G110"/>
  <c r="G109"/>
  <c r="G108"/>
  <c r="E108"/>
  <c r="G105"/>
  <c r="E105"/>
  <c r="G103"/>
  <c r="E103"/>
  <c r="E107" s="1"/>
  <c r="G107" s="1"/>
  <c r="G101"/>
  <c r="E101"/>
  <c r="G77" i="5"/>
  <c r="E75"/>
  <c r="E73" s="1"/>
  <c r="E48" i="4" l="1"/>
  <c r="G48" s="1"/>
  <c r="G47"/>
  <c r="G46"/>
  <c r="G55" s="1"/>
  <c r="G52"/>
  <c r="E104" i="7"/>
  <c r="E74" i="5"/>
  <c r="G74" s="1"/>
  <c r="G73"/>
  <c r="G75"/>
  <c r="E72"/>
  <c r="G72" s="1"/>
  <c r="G76" s="1"/>
  <c r="G104" i="7" l="1"/>
  <c r="E106"/>
  <c r="G106" s="1"/>
  <c r="E102"/>
  <c r="G102" s="1"/>
  <c r="G112" s="1"/>
  <c r="G197" i="8" l="1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98" s="1"/>
  <c r="G37" i="6"/>
  <c r="E34"/>
  <c r="E35" s="1"/>
  <c r="G35" s="1"/>
  <c r="E33"/>
  <c r="G33" s="1"/>
  <c r="E32"/>
  <c r="G32" s="1"/>
  <c r="E31"/>
  <c r="G31" s="1"/>
  <c r="G30"/>
  <c r="G29"/>
  <c r="E29"/>
  <c r="E44" i="4"/>
  <c r="G44" s="1"/>
  <c r="E43"/>
  <c r="G43" s="1"/>
  <c r="E42"/>
  <c r="G42" s="1"/>
  <c r="G41"/>
  <c r="G40"/>
  <c r="E40"/>
  <c r="G39"/>
  <c r="G38"/>
  <c r="G45" s="1"/>
  <c r="G48" i="9"/>
  <c r="G46"/>
  <c r="G45"/>
  <c r="G44"/>
  <c r="G43"/>
  <c r="G42"/>
  <c r="G47" s="1"/>
  <c r="G260" i="10"/>
  <c r="G259"/>
  <c r="G258"/>
  <c r="G257"/>
  <c r="G256"/>
  <c r="E255"/>
  <c r="G255" s="1"/>
  <c r="G254"/>
  <c r="G253"/>
  <c r="E252"/>
  <c r="G252" s="1"/>
  <c r="G251"/>
  <c r="G250"/>
  <c r="E249"/>
  <c r="G249" s="1"/>
  <c r="E248"/>
  <c r="G248" s="1"/>
  <c r="E247"/>
  <c r="G247" s="1"/>
  <c r="E246"/>
  <c r="G246" s="1"/>
  <c r="E245"/>
  <c r="G245" s="1"/>
  <c r="G261" s="1"/>
  <c r="F130" i="8"/>
  <c r="E130"/>
  <c r="G130" s="1"/>
  <c r="G129"/>
  <c r="F129"/>
  <c r="G126"/>
  <c r="E126"/>
  <c r="G125"/>
  <c r="E125"/>
  <c r="G124"/>
  <c r="E124"/>
  <c r="E128" s="1"/>
  <c r="G128" s="1"/>
  <c r="G123"/>
  <c r="E123"/>
  <c r="G122"/>
  <c r="E122"/>
  <c r="G120"/>
  <c r="F119"/>
  <c r="G119" s="1"/>
  <c r="G118"/>
  <c r="G117"/>
  <c r="E117"/>
  <c r="G116"/>
  <c r="E116"/>
  <c r="G115"/>
  <c r="E115"/>
  <c r="G114"/>
  <c r="G113"/>
  <c r="G112"/>
  <c r="E112"/>
  <c r="F99" i="7"/>
  <c r="G99" s="1"/>
  <c r="F98"/>
  <c r="G98" s="1"/>
  <c r="E97"/>
  <c r="G97" s="1"/>
  <c r="E94"/>
  <c r="G94" s="1"/>
  <c r="E93"/>
  <c r="G93" s="1"/>
  <c r="E92"/>
  <c r="G92" s="1"/>
  <c r="E90"/>
  <c r="G90" s="1"/>
  <c r="G96" i="5"/>
  <c r="E94"/>
  <c r="G94" s="1"/>
  <c r="E92"/>
  <c r="E93" s="1"/>
  <c r="G93" s="1"/>
  <c r="E91"/>
  <c r="G91" s="1"/>
  <c r="G66"/>
  <c r="G65"/>
  <c r="G64"/>
  <c r="E64"/>
  <c r="E70" s="1"/>
  <c r="G34" i="6" l="1"/>
  <c r="G36" s="1"/>
  <c r="E127" i="8"/>
  <c r="G127" s="1"/>
  <c r="G131" s="1"/>
  <c r="E91" i="7"/>
  <c r="G91" s="1"/>
  <c r="E95"/>
  <c r="G95" s="1"/>
  <c r="G100" s="1"/>
  <c r="E96"/>
  <c r="G96" s="1"/>
  <c r="G92" i="5"/>
  <c r="G95" s="1"/>
  <c r="E69"/>
  <c r="G69" s="1"/>
  <c r="E68"/>
  <c r="G68" s="1"/>
  <c r="E67"/>
  <c r="G67" s="1"/>
  <c r="G70"/>
  <c r="G71"/>
  <c r="G243" i="10" l="1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E219"/>
  <c r="G219" s="1"/>
  <c r="G218"/>
  <c r="G217"/>
  <c r="G216"/>
  <c r="G215"/>
  <c r="G214"/>
  <c r="G213"/>
  <c r="G212"/>
  <c r="E211"/>
  <c r="G211" s="1"/>
  <c r="G210"/>
  <c r="G209"/>
  <c r="G208"/>
  <c r="G207"/>
  <c r="E206"/>
  <c r="G206" s="1"/>
  <c r="F110" i="8"/>
  <c r="G110" s="1"/>
  <c r="E109"/>
  <c r="G109" s="1"/>
  <c r="E108"/>
  <c r="G108" s="1"/>
  <c r="E107"/>
  <c r="G107" s="1"/>
  <c r="E106"/>
  <c r="G106" s="1"/>
  <c r="G111" s="1"/>
  <c r="E88" i="7"/>
  <c r="E85" s="1"/>
  <c r="G85" s="1"/>
  <c r="E89" i="5"/>
  <c r="E87" s="1"/>
  <c r="G62"/>
  <c r="G61"/>
  <c r="E61"/>
  <c r="G60"/>
  <c r="E60"/>
  <c r="G59"/>
  <c r="G63" s="1"/>
  <c r="E59"/>
  <c r="G244" i="10" l="1"/>
  <c r="G88" i="7"/>
  <c r="E81"/>
  <c r="G81" s="1"/>
  <c r="E83"/>
  <c r="E84"/>
  <c r="E88" i="5"/>
  <c r="G88" s="1"/>
  <c r="G87"/>
  <c r="G89"/>
  <c r="E86"/>
  <c r="G86" s="1"/>
  <c r="G90" s="1"/>
  <c r="E86" i="7" l="1"/>
  <c r="G86" s="1"/>
  <c r="E82"/>
  <c r="G82" s="1"/>
  <c r="G89" s="1"/>
  <c r="G84"/>
  <c r="E87"/>
  <c r="G87" s="1"/>
  <c r="G83"/>
  <c r="G204" i="10" l="1"/>
  <c r="G203"/>
  <c r="G202"/>
  <c r="G201"/>
  <c r="G200"/>
  <c r="G199"/>
  <c r="G198"/>
  <c r="G197"/>
  <c r="G196"/>
  <c r="G195"/>
  <c r="G194"/>
  <c r="G193"/>
  <c r="E192"/>
  <c r="G192" s="1"/>
  <c r="E191"/>
  <c r="G191" s="1"/>
  <c r="E190"/>
  <c r="G190" s="1"/>
  <c r="E189"/>
  <c r="G189" s="1"/>
  <c r="E188"/>
  <c r="G188" s="1"/>
  <c r="E187"/>
  <c r="G187" s="1"/>
  <c r="E186"/>
  <c r="G186" s="1"/>
  <c r="E185"/>
  <c r="G185" s="1"/>
  <c r="E184"/>
  <c r="G184" s="1"/>
  <c r="E183"/>
  <c r="G183" s="1"/>
  <c r="E182"/>
  <c r="G182" s="1"/>
  <c r="E181"/>
  <c r="G181" s="1"/>
  <c r="E180"/>
  <c r="G180" s="1"/>
  <c r="E179"/>
  <c r="G179" s="1"/>
  <c r="E178"/>
  <c r="G178" s="1"/>
  <c r="E177"/>
  <c r="G177" s="1"/>
  <c r="E104" i="8"/>
  <c r="G104" s="1"/>
  <c r="F103"/>
  <c r="G103" s="1"/>
  <c r="E102"/>
  <c r="G102" s="1"/>
  <c r="F101"/>
  <c r="G101" s="1"/>
  <c r="G100"/>
  <c r="G99"/>
  <c r="G98"/>
  <c r="G97"/>
  <c r="G96"/>
  <c r="G95"/>
  <c r="G105" s="1"/>
  <c r="E79" i="7"/>
  <c r="G79" s="1"/>
  <c r="E76"/>
  <c r="G76" s="1"/>
  <c r="E74"/>
  <c r="E78" s="1"/>
  <c r="G78" s="1"/>
  <c r="E72"/>
  <c r="G72" s="1"/>
  <c r="G84" i="5"/>
  <c r="E84"/>
  <c r="G82"/>
  <c r="E82"/>
  <c r="E83" s="1"/>
  <c r="G83" s="1"/>
  <c r="G81"/>
  <c r="E81"/>
  <c r="E57"/>
  <c r="G57" s="1"/>
  <c r="E56"/>
  <c r="G56" s="1"/>
  <c r="E55"/>
  <c r="G55" s="1"/>
  <c r="E54"/>
  <c r="G54" s="1"/>
  <c r="G53"/>
  <c r="G205" i="10" l="1"/>
  <c r="G74" i="7"/>
  <c r="E75"/>
  <c r="G85" i="5"/>
  <c r="G58"/>
  <c r="E77" i="7" l="1"/>
  <c r="G77" s="1"/>
  <c r="G75"/>
  <c r="E73"/>
  <c r="G73" s="1"/>
  <c r="G80" s="1"/>
  <c r="G40" i="9" l="1"/>
  <c r="G39"/>
  <c r="G38"/>
  <c r="G41" s="1"/>
  <c r="G175" i="10"/>
  <c r="G174"/>
  <c r="G173"/>
  <c r="G172"/>
  <c r="E171"/>
  <c r="G171" s="1"/>
  <c r="G170"/>
  <c r="G169"/>
  <c r="G168"/>
  <c r="G167"/>
  <c r="E167"/>
  <c r="G166"/>
  <c r="E166"/>
  <c r="G165"/>
  <c r="E165"/>
  <c r="G164"/>
  <c r="G163"/>
  <c r="G162"/>
  <c r="E161"/>
  <c r="G161" s="1"/>
  <c r="G160"/>
  <c r="G159"/>
  <c r="E158"/>
  <c r="G158" s="1"/>
  <c r="E157"/>
  <c r="G157" s="1"/>
  <c r="G156"/>
  <c r="G155"/>
  <c r="E154"/>
  <c r="G154" s="1"/>
  <c r="E153"/>
  <c r="G153" s="1"/>
  <c r="E152"/>
  <c r="G152" s="1"/>
  <c r="E151"/>
  <c r="G151" s="1"/>
  <c r="E150"/>
  <c r="G150" s="1"/>
  <c r="E149"/>
  <c r="G149" s="1"/>
  <c r="E148"/>
  <c r="G148" s="1"/>
  <c r="F93" i="8"/>
  <c r="G93" s="1"/>
  <c r="G92"/>
  <c r="E90"/>
  <c r="G90" s="1"/>
  <c r="G89"/>
  <c r="E88"/>
  <c r="G88" s="1"/>
  <c r="E87"/>
  <c r="G87" s="1"/>
  <c r="G85"/>
  <c r="G84"/>
  <c r="E83"/>
  <c r="G83" s="1"/>
  <c r="G82"/>
  <c r="G81"/>
  <c r="E80"/>
  <c r="G80" s="1"/>
  <c r="G79"/>
  <c r="G78"/>
  <c r="G77"/>
  <c r="E70" i="7"/>
  <c r="G70" s="1"/>
  <c r="E67"/>
  <c r="G67" s="1"/>
  <c r="E65"/>
  <c r="E69" s="1"/>
  <c r="G69" s="1"/>
  <c r="E63"/>
  <c r="G63" s="1"/>
  <c r="G47" i="5"/>
  <c r="E47"/>
  <c r="E51" s="1"/>
  <c r="G51" s="1"/>
  <c r="G176" i="10" l="1"/>
  <c r="G94" i="8"/>
  <c r="E66" i="7"/>
  <c r="G65"/>
  <c r="E48" i="5"/>
  <c r="G48" s="1"/>
  <c r="G52" s="1"/>
  <c r="E49"/>
  <c r="G49" s="1"/>
  <c r="E50"/>
  <c r="G50" s="1"/>
  <c r="E68" i="7" l="1"/>
  <c r="G68" s="1"/>
  <c r="E64"/>
  <c r="G64" s="1"/>
  <c r="G71" s="1"/>
  <c r="G66"/>
  <c r="G146" i="10" l="1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E107"/>
  <c r="G107" s="1"/>
  <c r="G106"/>
  <c r="G105"/>
  <c r="G104"/>
  <c r="E103"/>
  <c r="G103" s="1"/>
  <c r="G102"/>
  <c r="G101"/>
  <c r="E101"/>
  <c r="G100"/>
  <c r="G99"/>
  <c r="G98"/>
  <c r="E98"/>
  <c r="G97"/>
  <c r="E96"/>
  <c r="G96" s="1"/>
  <c r="E95"/>
  <c r="G95" s="1"/>
  <c r="G94"/>
  <c r="G93"/>
  <c r="E93"/>
  <c r="G92"/>
  <c r="E91"/>
  <c r="G91" s="1"/>
  <c r="E90"/>
  <c r="G90" s="1"/>
  <c r="E89"/>
  <c r="G89" s="1"/>
  <c r="E88"/>
  <c r="G88" s="1"/>
  <c r="G75" i="8"/>
  <c r="E75"/>
  <c r="G74"/>
  <c r="E73"/>
  <c r="G73" s="1"/>
  <c r="G72"/>
  <c r="G71"/>
  <c r="G70"/>
  <c r="G69"/>
  <c r="G68"/>
  <c r="G67"/>
  <c r="E67"/>
  <c r="G66"/>
  <c r="E66"/>
  <c r="G64"/>
  <c r="G63"/>
  <c r="G62"/>
  <c r="G61"/>
  <c r="G60"/>
  <c r="E59"/>
  <c r="G59" s="1"/>
  <c r="G58"/>
  <c r="G57"/>
  <c r="G56"/>
  <c r="G76" s="1"/>
  <c r="E61" i="7"/>
  <c r="G61" s="1"/>
  <c r="E58"/>
  <c r="G58" s="1"/>
  <c r="E57"/>
  <c r="G57" s="1"/>
  <c r="E56"/>
  <c r="G56" s="1"/>
  <c r="E54"/>
  <c r="G54" s="1"/>
  <c r="G147" i="10" l="1"/>
  <c r="E55" i="7"/>
  <c r="G55" s="1"/>
  <c r="G62" s="1"/>
  <c r="E59"/>
  <c r="G59" s="1"/>
  <c r="E60"/>
  <c r="G60" s="1"/>
  <c r="G36" i="9" l="1"/>
  <c r="G35"/>
  <c r="G34"/>
  <c r="E34"/>
  <c r="G33"/>
  <c r="E33"/>
  <c r="G32"/>
  <c r="E32"/>
  <c r="G31"/>
  <c r="E30"/>
  <c r="G30" s="1"/>
  <c r="G29"/>
  <c r="G28"/>
  <c r="E28"/>
  <c r="G27"/>
  <c r="G37" s="1"/>
  <c r="E86" i="10"/>
  <c r="G86" s="1"/>
  <c r="G85"/>
  <c r="G84"/>
  <c r="E83"/>
  <c r="G83" s="1"/>
  <c r="E82"/>
  <c r="G82" s="1"/>
  <c r="E81"/>
  <c r="G81" s="1"/>
  <c r="E80"/>
  <c r="G80" s="1"/>
  <c r="G79"/>
  <c r="G87" s="1"/>
  <c r="E54" i="8"/>
  <c r="G54" s="1"/>
  <c r="G53"/>
  <c r="G52"/>
  <c r="E52"/>
  <c r="G51"/>
  <c r="G50"/>
  <c r="G49"/>
  <c r="G48"/>
  <c r="G47"/>
  <c r="E46"/>
  <c r="G46" s="1"/>
  <c r="E45"/>
  <c r="G45" s="1"/>
  <c r="G44"/>
  <c r="G43"/>
  <c r="G42"/>
  <c r="G55" s="1"/>
  <c r="E52" i="7"/>
  <c r="E49" s="1"/>
  <c r="G49" s="1"/>
  <c r="E45"/>
  <c r="G45" s="1"/>
  <c r="E45" i="5"/>
  <c r="G45" s="1"/>
  <c r="E44"/>
  <c r="G44" s="1"/>
  <c r="E43"/>
  <c r="G43" s="1"/>
  <c r="E42"/>
  <c r="G42" s="1"/>
  <c r="G41"/>
  <c r="G52" i="7" l="1"/>
  <c r="E47"/>
  <c r="E48"/>
  <c r="G46" i="5"/>
  <c r="E50" i="7" l="1"/>
  <c r="G50" s="1"/>
  <c r="E46"/>
  <c r="G46" s="1"/>
  <c r="G48"/>
  <c r="E51"/>
  <c r="G51" s="1"/>
  <c r="G47"/>
  <c r="G53" l="1"/>
  <c r="E25" i="9" l="1"/>
  <c r="G25" s="1"/>
  <c r="G24"/>
  <c r="E23"/>
  <c r="G23" s="1"/>
  <c r="G26" s="1"/>
  <c r="G77" i="10"/>
  <c r="G76"/>
  <c r="G75"/>
  <c r="G74"/>
  <c r="G73"/>
  <c r="G72"/>
  <c r="G71"/>
  <c r="G70"/>
  <c r="E69"/>
  <c r="G69" s="1"/>
  <c r="G68"/>
  <c r="G67"/>
  <c r="G66"/>
  <c r="G65"/>
  <c r="G64"/>
  <c r="G63"/>
  <c r="G62"/>
  <c r="G61"/>
  <c r="G60"/>
  <c r="G59"/>
  <c r="G58"/>
  <c r="G57"/>
  <c r="G56"/>
  <c r="G55"/>
  <c r="G78" s="1"/>
  <c r="E55"/>
  <c r="E40" i="8"/>
  <c r="G40" s="1"/>
  <c r="G39"/>
  <c r="G38"/>
  <c r="G37"/>
  <c r="G36"/>
  <c r="E35"/>
  <c r="G35" s="1"/>
  <c r="G34"/>
  <c r="G33"/>
  <c r="E33"/>
  <c r="G32"/>
  <c r="G31"/>
  <c r="G30"/>
  <c r="G41" s="1"/>
  <c r="E43" i="7"/>
  <c r="G43" s="1"/>
  <c r="G42"/>
  <c r="G41"/>
  <c r="E40"/>
  <c r="G40" s="1"/>
  <c r="E39"/>
  <c r="G39" s="1"/>
  <c r="E38"/>
  <c r="G38" s="1"/>
  <c r="G37"/>
  <c r="G36"/>
  <c r="G44" s="1"/>
  <c r="E36"/>
  <c r="E39" i="5"/>
  <c r="G39" s="1"/>
  <c r="E38"/>
  <c r="G38" s="1"/>
  <c r="E37"/>
  <c r="G37" s="1"/>
  <c r="E36"/>
  <c r="G36" s="1"/>
  <c r="E35"/>
  <c r="G35" s="1"/>
  <c r="G40" s="1"/>
  <c r="G53" i="10" l="1"/>
  <c r="G52"/>
  <c r="G51"/>
  <c r="G50"/>
  <c r="G49"/>
  <c r="G48"/>
  <c r="G47"/>
  <c r="G46"/>
  <c r="G45"/>
  <c r="G44"/>
  <c r="G43"/>
  <c r="G42"/>
  <c r="G41"/>
  <c r="G40"/>
  <c r="G39"/>
  <c r="G38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G28"/>
  <c r="G27"/>
  <c r="E27"/>
  <c r="G26"/>
  <c r="E26"/>
  <c r="G25"/>
  <c r="E25"/>
  <c r="E24"/>
  <c r="G24" s="1"/>
  <c r="E23"/>
  <c r="G23" s="1"/>
  <c r="G54" s="1"/>
  <c r="G31" i="3" s="1"/>
  <c r="G28" i="8"/>
  <c r="E27"/>
  <c r="G27" s="1"/>
  <c r="G26"/>
  <c r="G25"/>
  <c r="G24"/>
  <c r="E23"/>
  <c r="G23" s="1"/>
  <c r="G34" i="7"/>
  <c r="G33"/>
  <c r="G32"/>
  <c r="G31"/>
  <c r="E31"/>
  <c r="G30"/>
  <c r="E29"/>
  <c r="G29" s="1"/>
  <c r="E28"/>
  <c r="G28" s="1"/>
  <c r="G27"/>
  <c r="G35" s="1"/>
  <c r="G27" i="6"/>
  <c r="G26"/>
  <c r="G25"/>
  <c r="E25"/>
  <c r="G24"/>
  <c r="E23"/>
  <c r="G23" s="1"/>
  <c r="G33" i="5"/>
  <c r="G32"/>
  <c r="G31"/>
  <c r="G30"/>
  <c r="G29"/>
  <c r="G28"/>
  <c r="G27"/>
  <c r="G26"/>
  <c r="G34" s="1"/>
  <c r="G29" i="8" l="1"/>
  <c r="G28" i="6"/>
  <c r="E25" i="7"/>
  <c r="G25" s="1"/>
  <c r="E24"/>
  <c r="G24" s="1"/>
  <c r="G23"/>
  <c r="G26" s="1"/>
  <c r="G24" i="5"/>
  <c r="G23"/>
  <c r="E36" i="4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G25" i="5" l="1"/>
  <c r="G37" i="4"/>
  <c r="G35" i="3" l="1"/>
  <c r="F31" l="1"/>
  <c r="F35" s="1"/>
</calcChain>
</file>

<file path=xl/sharedStrings.xml><?xml version="1.0" encoding="utf-8"?>
<sst xmlns="http://schemas.openxmlformats.org/spreadsheetml/2006/main" count="3861" uniqueCount="809">
  <si>
    <t>№ пп</t>
  </si>
  <si>
    <t>Наименование работ и затрат</t>
  </si>
  <si>
    <t>Ед. изм.</t>
  </si>
  <si>
    <t xml:space="preserve">Очистка дороги от снега плужными снегоочистителями на базе автомобиля                    </t>
  </si>
  <si>
    <t>1000 м2</t>
  </si>
  <si>
    <t xml:space="preserve">Очистка обочин от снега плужными снегоочистителями на базе автомобиля                     </t>
  </si>
  <si>
    <t>1 км обочины</t>
  </si>
  <si>
    <t xml:space="preserve">Россыпь противогололедных материалов комбинированной дорожной машиной  -без стоимости смеси                   </t>
  </si>
  <si>
    <t>смесь песчано-соляная (0,38т на 1000м2)</t>
  </si>
  <si>
    <t>т</t>
  </si>
  <si>
    <t xml:space="preserve">Пробег комбинированной дорожной машины с грузом и без груза </t>
  </si>
  <si>
    <t>10 км</t>
  </si>
  <si>
    <t>Очистка дороги от снега плужными снегоочистителями на базе трактора  -тротуары</t>
  </si>
  <si>
    <t xml:space="preserve">Очистка тротуаров от снега вручную                          </t>
  </si>
  <si>
    <t>100 м2</t>
  </si>
  <si>
    <t xml:space="preserve">Очистка автопавильонов и территорий, прилегающих к ним, от мусора, снега и льда           </t>
  </si>
  <si>
    <t>Россыпь песка вручную: на тротуарах, остановках общественного транспорта, площадках отдыха-без стоимости песка</t>
  </si>
  <si>
    <t>Погрузочные работы при автомобильных перевозках:снега с погрузкой экскаваторами емкостью ковша до 0,5 м3                                (объемный вес снега свежевыпавшего осевшего 300кг/м3)</t>
  </si>
  <si>
    <t>1 т груза</t>
  </si>
  <si>
    <t>Перевозка грузов автомобилями-самосвалами грузоподъемностью 10 т на расстояние: до 10 км I класс груза</t>
  </si>
  <si>
    <t>Обоснование</t>
  </si>
  <si>
    <t>Количество</t>
  </si>
  <si>
    <t>Общая стоимость, руб</t>
  </si>
  <si>
    <t>Норматив (стоимость единицы), руб.</t>
  </si>
  <si>
    <t>А.Н.Головинов</t>
  </si>
  <si>
    <t>Унифицированная форма № КС-2</t>
  </si>
  <si>
    <t>Утверждена постановлением Госкомстата России</t>
  </si>
  <si>
    <t>от 11 ноября 1999 года №100</t>
  </si>
  <si>
    <t>Форма по ОКУД</t>
  </si>
  <si>
    <t>Код</t>
  </si>
  <si>
    <t>0322005</t>
  </si>
  <si>
    <t xml:space="preserve">Инвестор </t>
  </si>
  <si>
    <t>по ОКПО</t>
  </si>
  <si>
    <r>
      <rPr>
        <i/>
        <sz val="10"/>
        <rFont val="Arial Cyr"/>
        <charset val="204"/>
      </rPr>
      <t>Заказчик:</t>
    </r>
    <r>
      <rPr>
        <sz val="10"/>
        <rFont val="Arial"/>
        <family val="2"/>
        <charset val="204"/>
      </rPr>
      <t xml:space="preserve"> Администрация городского поселения – город Богучар Богучарского муниципального района Воронежской области</t>
    </r>
  </si>
  <si>
    <t xml:space="preserve"> </t>
  </si>
  <si>
    <t>Вид деятельности по ОКДП</t>
  </si>
  <si>
    <t>Договор подряда (контракт)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</si>
  <si>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</si>
  <si>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</si>
  <si>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</si>
  <si>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</si>
  <si>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</si>
  <si>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</si>
  <si>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</si>
  <si>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</si>
  <si>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1</t>
  </si>
  <si>
    <t>АКТ</t>
  </si>
  <si>
    <t>Муниципальное задание №1</t>
  </si>
  <si>
    <t>17.02.2018г.</t>
  </si>
  <si>
    <t>31.03.2018г.</t>
  </si>
  <si>
    <t>О ПРИЕМКЕ ВЫПОЛНЕННЫХ РАБОТ за март  2018г.</t>
  </si>
  <si>
    <t>Итого по акту</t>
  </si>
  <si>
    <t>Принял: Заказчик</t>
  </si>
  <si>
    <t>Глава администрации городского поселения – город Богучар  _______________И.М.Нежельский</t>
  </si>
  <si>
    <t>Сдал: Подрядчик</t>
  </si>
  <si>
    <t>Расчет №1-1</t>
  </si>
  <si>
    <t>Расчет №1-2</t>
  </si>
  <si>
    <t>Расчет №1-3</t>
  </si>
  <si>
    <t>Расчет №1-4</t>
  </si>
  <si>
    <t>Расчет №1-5</t>
  </si>
  <si>
    <t>Расчет №1-6</t>
  </si>
  <si>
    <t>Расчет №1-7</t>
  </si>
  <si>
    <t>Расчет №1-8</t>
  </si>
  <si>
    <t>Расчет №1-9</t>
  </si>
  <si>
    <t>Расчет №1-10</t>
  </si>
  <si>
    <t>Расчет №1-11</t>
  </si>
  <si>
    <t>Унифицированная форма №КС-3</t>
  </si>
  <si>
    <t>от 11.11.99г. №100</t>
  </si>
  <si>
    <t>О322ОО1</t>
  </si>
  <si>
    <t>Инвестор</t>
  </si>
  <si>
    <t>ОКПО</t>
  </si>
  <si>
    <t>(организация,адрес,телефон,факс)</t>
  </si>
  <si>
    <t xml:space="preserve"> ОКПО</t>
  </si>
  <si>
    <t>396790, Воронежская область, г. Богучар,ул. К. Маркса,2</t>
  </si>
  <si>
    <t>(наименование,адрес)</t>
  </si>
  <si>
    <t xml:space="preserve">  </t>
  </si>
  <si>
    <t xml:space="preserve">                                               Вид деятельности по ОКДП</t>
  </si>
  <si>
    <t>Договор подряда(контракт)</t>
  </si>
  <si>
    <t>Номер</t>
  </si>
  <si>
    <t>Дата</t>
  </si>
  <si>
    <t xml:space="preserve">                                               Вид операции</t>
  </si>
  <si>
    <t>отчетный период</t>
  </si>
  <si>
    <t>документа</t>
  </si>
  <si>
    <t>составления</t>
  </si>
  <si>
    <t>СПРАВКА</t>
  </si>
  <si>
    <t>Наименование пусковых комплексов, этапов,видов работ, затрат</t>
  </si>
  <si>
    <t>код</t>
  </si>
  <si>
    <t>стоимость выполненных работ</t>
  </si>
  <si>
    <t xml:space="preserve">с начала </t>
  </si>
  <si>
    <t>с начала</t>
  </si>
  <si>
    <t>в том числе</t>
  </si>
  <si>
    <t>проведения</t>
  </si>
  <si>
    <t>года</t>
  </si>
  <si>
    <t>за отчетный</t>
  </si>
  <si>
    <t>работ</t>
  </si>
  <si>
    <t>период</t>
  </si>
  <si>
    <t>О1</t>
  </si>
  <si>
    <t>Всего работ и затрат, включаемых в стоимость работ</t>
  </si>
  <si>
    <t>В том числе:</t>
  </si>
  <si>
    <t>Итого:</t>
  </si>
  <si>
    <t>Сумма НДС</t>
  </si>
  <si>
    <t>Всего:</t>
  </si>
  <si>
    <t>Заказчик-</t>
  </si>
  <si>
    <t xml:space="preserve">Глава администрации городского поселения – г.Богучар </t>
  </si>
  <si>
    <t>И.М.Нежельский</t>
  </si>
  <si>
    <t>(должность)</t>
  </si>
  <si>
    <t>(подпись)</t>
  </si>
  <si>
    <t>(расшифровка подписи)</t>
  </si>
  <si>
    <t>М.п.</t>
  </si>
  <si>
    <t>Подрядчик-</t>
  </si>
  <si>
    <t>396790, Воронежская область , г. Богучар, ул. Белогубова, д. 7 «А»</t>
  </si>
  <si>
    <r>
      <rPr>
        <i/>
        <sz val="10"/>
        <rFont val="Arial Cyr"/>
        <charset val="204"/>
      </rPr>
      <t>Заказчик</t>
    </r>
    <r>
      <rPr>
        <sz val="10"/>
        <rFont val="Arial Cyr"/>
        <family val="2"/>
        <charset val="204"/>
      </rPr>
      <t>:  Администрация городского поселения – город Богучар Богучарского муниципального района Воронежской области</t>
    </r>
  </si>
  <si>
    <t>о стоимости выполненных работ за  март 2018г.</t>
  </si>
  <si>
    <t>16.02.2018</t>
  </si>
  <si>
    <t>02 апреля 2018г.</t>
  </si>
  <si>
    <t xml:space="preserve">Очистка тротуаров, площадок отдыха  от снега и льда вручную                          </t>
  </si>
  <si>
    <r>
      <t xml:space="preserve">Объект:  </t>
    </r>
    <r>
      <rPr>
        <sz val="10"/>
        <rFont val="Arial Cyr"/>
        <charset val="204"/>
      </rPr>
      <t>Выполнение работ по содержанию, эксплуатации и ремонту объектов внешнего благоустройства, в том числе автомобильных дорог местного значения, тротуаров, объектов внешнего благоустройства  в соответствии с Муниципальным заданием №1</t>
    </r>
  </si>
  <si>
    <r>
      <rPr>
        <i/>
        <sz val="10"/>
        <rFont val="Arial"/>
        <family val="2"/>
        <charset val="204"/>
      </rPr>
      <t xml:space="preserve">Объект: </t>
    </r>
    <r>
      <rPr>
        <sz val="10"/>
        <rFont val="Arial"/>
        <family val="2"/>
        <charset val="204"/>
      </rPr>
      <t xml:space="preserve"> Выполнение работ по содержанию, эксплуатации и ремонту объектов внешнего благоустройства, в том числе автомобильных дорог местного значения, тротуаров, объектов внешнего благоустройства  в соответствии с Муниципальным заданием №1
</t>
    </r>
  </si>
  <si>
    <t>итого</t>
  </si>
  <si>
    <t>1 дерево</t>
  </si>
  <si>
    <t>15</t>
  </si>
  <si>
    <t>РАСЧЕТ № 2-9</t>
  </si>
  <si>
    <t>16</t>
  </si>
  <si>
    <t>Расчистка площадей от кустарника и мелколесья вручную: при густой поросли (Расчистка площадей от камыша )</t>
  </si>
  <si>
    <t>РАСЧЕТ № 4-1</t>
  </si>
  <si>
    <t>Очистка участка от мусора</t>
  </si>
  <si>
    <t>РАСЧЕТ № 4-5</t>
  </si>
  <si>
    <t>Погрузочные работы при автомобильных перевозках: прочих материалов, деталей (с использованием погрузчика)</t>
  </si>
  <si>
    <t>РАСЧЕТ № 4-7</t>
  </si>
  <si>
    <t>Разгрузочные работы при автомобильных перевозках: прочих материалов, деталей (с использованием погрузчика)</t>
  </si>
  <si>
    <t>РАСЧЕТ № 2-6-1</t>
  </si>
  <si>
    <t>Формовочная обрезка деревьев высотой: более 5 м (без стоимости автогидроподъемника)</t>
  </si>
  <si>
    <t xml:space="preserve">Выполнение работ по содержанию, эксплуатации и ремонту объектов внешнего благоустройства
</t>
  </si>
  <si>
    <t>Директор МБУ «Комбинат  благоустройства города Богучар»</t>
  </si>
  <si>
    <r>
      <rPr>
        <i/>
        <sz val="10"/>
        <rFont val="Arial Cyr"/>
        <charset val="204"/>
      </rPr>
      <t>Подрядчик</t>
    </r>
    <r>
      <rPr>
        <sz val="10"/>
        <rFont val="Arial Cyr"/>
        <family val="2"/>
        <charset val="204"/>
      </rPr>
      <t xml:space="preserve">: МБУ «Комбинат  благоустройства города Богучар» </t>
    </r>
  </si>
  <si>
    <t>Директор МБУ «Комбинат  благоустройства города Богучар»________________А.Н.Головинов</t>
  </si>
  <si>
    <r>
      <rPr>
        <i/>
        <sz val="10"/>
        <rFont val="Arial Cyr"/>
        <charset val="204"/>
      </rPr>
      <t xml:space="preserve">Подрядчик: </t>
    </r>
    <r>
      <rPr>
        <sz val="10"/>
        <rFont val="Arial"/>
        <family val="2"/>
        <charset val="204"/>
      </rPr>
      <t xml:space="preserve">   МБУ «Комбинат  благоустройства города Богучар» </t>
    </r>
  </si>
  <si>
    <t>1.Работы по содержанию автомобильных дорог общего пользования местного значения в зимний период</t>
  </si>
  <si>
    <t>2.Работы по спилу, санитарной обрезке деревьев,вырезке порослей и вырубке кустарников</t>
  </si>
  <si>
    <t xml:space="preserve">4.Работы по вывозу крупногабаритного мусора (КГМ), ликвидации несанкционированных свалок и очаговых навалов мусора </t>
  </si>
  <si>
    <t>март</t>
  </si>
  <si>
    <t>Итого по нормативу №1</t>
  </si>
  <si>
    <t>Итого по нормативу №2</t>
  </si>
  <si>
    <t>Итого по нормативу №4</t>
  </si>
  <si>
    <t>РАСЧЕТ № 2-1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</si>
  <si>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ствола: до 36 см</t>
  </si>
  <si>
    <t>1 м3 дерева</t>
  </si>
  <si>
    <t>2</t>
  </si>
  <si>
    <t>3</t>
  </si>
  <si>
    <t>РАСЧЕТ № 2-8</t>
  </si>
  <si>
    <t xml:space="preserve">Обрезка и прореживание одиночных кустарников  </t>
  </si>
  <si>
    <t>100 кустов</t>
  </si>
  <si>
    <t>4</t>
  </si>
  <si>
    <t>5</t>
  </si>
  <si>
    <t>РАСЧЕТ № 2-13</t>
  </si>
  <si>
    <t>Погрузочные работы при автомобильных перевозках: мусора  с погрузкой вручную</t>
  </si>
  <si>
    <t>6</t>
  </si>
  <si>
    <t>РАСЧЕТ № 2-14</t>
  </si>
  <si>
    <t>Погрузочные работы при автомобильных перевозках: дров</t>
  </si>
  <si>
    <t>7</t>
  </si>
  <si>
    <t>РАСЧЕТ № 2-15</t>
  </si>
  <si>
    <t>Разгрузочные работы при автомобильных перевозках: дров</t>
  </si>
  <si>
    <t>8</t>
  </si>
  <si>
    <t>РАСЧЕТ № 2-16</t>
  </si>
  <si>
    <t>Перевозка грузов автомобилями-самосвалами грузоподъемностью 10 т, работающих вне карьера, на расстояние: до 18 км I класс груза</t>
  </si>
  <si>
    <t>апрель</t>
  </si>
  <si>
    <t>итого март</t>
  </si>
  <si>
    <t>итого апрель</t>
  </si>
  <si>
    <r>
      <rPr>
        <i/>
        <sz val="10"/>
        <rFont val="Arial Cyr"/>
        <charset val="204"/>
      </rPr>
      <t xml:space="preserve">Подрядчик: </t>
    </r>
    <r>
      <rPr>
        <sz val="10"/>
        <rFont val="Arial"/>
        <family val="2"/>
        <charset val="204"/>
      </rPr>
      <t xml:space="preserve">   МБУ «Комбинат благоустройства города Богучар» </t>
    </r>
  </si>
  <si>
    <t>03 мая 2018г.</t>
  </si>
  <si>
    <t>01.04.2018</t>
  </si>
  <si>
    <t>30.04.2018</t>
  </si>
  <si>
    <t>О ПРИЕМКЕ ВЫПОЛНЕННЫХ РАБОТ за апрель  2018г.</t>
  </si>
  <si>
    <t>9</t>
  </si>
  <si>
    <t>РАСЧЕТ № 3-1</t>
  </si>
  <si>
    <t>Очистка лотков от мокрого ила и грязи</t>
  </si>
  <si>
    <t>1 м3 ила, грязи</t>
  </si>
  <si>
    <t>10</t>
  </si>
  <si>
    <t>РАСЧЕТ № 3-2</t>
  </si>
  <si>
    <t>Восстановление профиля канав вручную с очисткой от кустарника, отрывкой грунта с разравниванием и планировкой откосов: частичное</t>
  </si>
  <si>
    <t>1 м канавы</t>
  </si>
  <si>
    <t>11</t>
  </si>
  <si>
    <t>РАСЧЕТ № 3-4</t>
  </si>
  <si>
    <t>Планировка днища водоотводной канавы</t>
  </si>
  <si>
    <t>1000 м2 спланированной площади</t>
  </si>
  <si>
    <t>12</t>
  </si>
  <si>
    <t>РАСЧЕТ № 3-8</t>
  </si>
  <si>
    <t>Погрузочные работы при автомобильных перевозках: ила и грязи с погрузкой вручную</t>
  </si>
  <si>
    <t>13</t>
  </si>
  <si>
    <t>РАСЧЕТ № 3-9</t>
  </si>
  <si>
    <t>РАСЧЕТ № 4-2</t>
  </si>
  <si>
    <t>Затаривание  мусора в мешки</t>
  </si>
  <si>
    <t>1 т</t>
  </si>
  <si>
    <t>РАСЧЕТ № 4-3</t>
  </si>
  <si>
    <t>Погрузка мусора вручную в автомобили-самосвалы с выгрузкой</t>
  </si>
  <si>
    <t>100 м3 грунта</t>
  </si>
  <si>
    <t>РАСЧЕТ № 4-4</t>
  </si>
  <si>
    <t>Погрузочные работы при автомобильных перевозках: материалов, перевозимых в мешках и пакетах</t>
  </si>
  <si>
    <t>РАСЧЕТ № 4-6</t>
  </si>
  <si>
    <t>Разгрузочные работы при автомобильных перевозках: материалов, перевозимых в мешках и пакетах</t>
  </si>
  <si>
    <t>РАСЧЕТ № 4-8</t>
  </si>
  <si>
    <t>Перевозка грузов автомобилями-самосвалами грузоподъемностью 10 т на расстояние: до 12 км I класс груза</t>
  </si>
  <si>
    <t>22</t>
  </si>
  <si>
    <t>РАСЧЕТ №5-41</t>
  </si>
  <si>
    <t>Уборка опавших листьев при засоренности: сильной</t>
  </si>
  <si>
    <t>23</t>
  </si>
  <si>
    <t>РАСЧЕТ №5-43</t>
  </si>
  <si>
    <t>Приготовление раствора для побелки вручную: с подноской воды</t>
  </si>
  <si>
    <t>1 т раствора</t>
  </si>
  <si>
    <t>24</t>
  </si>
  <si>
    <t>РАСЧЕТ №5-45</t>
  </si>
  <si>
    <t>Ручная побелка деревьев в возрасте: 6-8 лет</t>
  </si>
  <si>
    <t>1000 деревьев</t>
  </si>
  <si>
    <t>25</t>
  </si>
  <si>
    <t>РАСЧЕТ №5-46</t>
  </si>
  <si>
    <t>Очистка поверхности щетками</t>
  </si>
  <si>
    <t>1 м2</t>
  </si>
  <si>
    <t>26</t>
  </si>
  <si>
    <t>РАСЧЕТ №5-47</t>
  </si>
  <si>
    <t>Окраска бордюров и столбов</t>
  </si>
  <si>
    <t xml:space="preserve">100 м2 </t>
  </si>
  <si>
    <t>27</t>
  </si>
  <si>
    <t>Расчет№8-11.4</t>
  </si>
  <si>
    <t>Благоустройство-прочие работы (расконсервация фонтана, уборка песка и мусора от бордюров и на дорожках)</t>
  </si>
  <si>
    <t>чел-час</t>
  </si>
  <si>
    <t>28</t>
  </si>
  <si>
    <t>Расчет №7-1</t>
  </si>
  <si>
    <t>Смена ламп: накаливания</t>
  </si>
  <si>
    <t>100 шт.</t>
  </si>
  <si>
    <t>29</t>
  </si>
  <si>
    <t>Расчет №7-2</t>
  </si>
  <si>
    <t>Смена ламп: люминесцентных (светодиодных)</t>
  </si>
  <si>
    <t>30</t>
  </si>
  <si>
    <t>Расчет №7-3</t>
  </si>
  <si>
    <t>Смена магнитных пускателей</t>
  </si>
  <si>
    <t>31</t>
  </si>
  <si>
    <t>Расчет №7-4</t>
  </si>
  <si>
    <t>Смена автоматических выключателей</t>
  </si>
  <si>
    <t>32</t>
  </si>
  <si>
    <t>Расчет №7-6</t>
  </si>
  <si>
    <t>Смена светильников: с люминесцентными лампами</t>
  </si>
  <si>
    <t>33</t>
  </si>
  <si>
    <t>Расчет №7-9</t>
  </si>
  <si>
    <t>Смена электросчетчиков</t>
  </si>
  <si>
    <t>34</t>
  </si>
  <si>
    <t>Расчет №7-10</t>
  </si>
  <si>
    <t>Смена патронов</t>
  </si>
  <si>
    <t>35</t>
  </si>
  <si>
    <t>Расчет №7-12</t>
  </si>
  <si>
    <t>Ремонт  щита учета (периодический осмотр без замены приборов)</t>
  </si>
  <si>
    <t>36</t>
  </si>
  <si>
    <t>Расчет №7-19</t>
  </si>
  <si>
    <t>Демонтаж - устройство сигнально-блокировочное (таймер)</t>
  </si>
  <si>
    <t>1 шт.</t>
  </si>
  <si>
    <t>37</t>
  </si>
  <si>
    <t>Расчет №7-20</t>
  </si>
  <si>
    <t>Монтаж-Устройство сигнально-блокировочное (таймер)</t>
  </si>
  <si>
    <t>38</t>
  </si>
  <si>
    <t>Расчет №7-35</t>
  </si>
  <si>
    <t>Светильник, устанавливаемый вне зданий с лампами: люминесцентными-демонтаж</t>
  </si>
  <si>
    <t>39</t>
  </si>
  <si>
    <t>Расчет №7-36</t>
  </si>
  <si>
    <t>Светильник, устанавливаемый вне зданий с лампами: люминесцентными-монтаж</t>
  </si>
  <si>
    <t>40</t>
  </si>
  <si>
    <t>Расчет №7-61</t>
  </si>
  <si>
    <t>Прожектор, отдельно устанавливаемый: на кронштейне</t>
  </si>
  <si>
    <t>41</t>
  </si>
  <si>
    <t>Расчет №7-68</t>
  </si>
  <si>
    <t xml:space="preserve">Подвеска проводов (СИП-2А и ПВС) </t>
  </si>
  <si>
    <t>1000 м</t>
  </si>
  <si>
    <t>42</t>
  </si>
  <si>
    <t>Расчет №7-71</t>
  </si>
  <si>
    <t>Реле времени : группа сложности ремонта I (Коррекция реле  в КТП)</t>
  </si>
  <si>
    <t>шт.</t>
  </si>
  <si>
    <t>43</t>
  </si>
  <si>
    <t>Расчет№8-11.1</t>
  </si>
  <si>
    <t>Электромонтажные работы (ремонтно-строительные)</t>
  </si>
  <si>
    <t>44</t>
  </si>
  <si>
    <t>цена поставщика</t>
  </si>
  <si>
    <t>бокс навесной 8-модульный</t>
  </si>
  <si>
    <t>45</t>
  </si>
  <si>
    <t>пускатель КМИ-22511 25А</t>
  </si>
  <si>
    <t>46</t>
  </si>
  <si>
    <t>Счетчик 1-фазный</t>
  </si>
  <si>
    <t>47</t>
  </si>
  <si>
    <t>Счетчик 3-фазный</t>
  </si>
  <si>
    <t>48</t>
  </si>
  <si>
    <t>автоматич.выключатель 63-80-100а 3-ф</t>
  </si>
  <si>
    <t>49</t>
  </si>
  <si>
    <t>дин-рейка 10см</t>
  </si>
  <si>
    <t>50</t>
  </si>
  <si>
    <t>провод ПВ-1-10</t>
  </si>
  <si>
    <t>м</t>
  </si>
  <si>
    <t>51</t>
  </si>
  <si>
    <t>стекло НББ</t>
  </si>
  <si>
    <t>52</t>
  </si>
  <si>
    <t>основание НТУ</t>
  </si>
  <si>
    <t>53</t>
  </si>
  <si>
    <t>провод ПВС 3*2,5</t>
  </si>
  <si>
    <t>54</t>
  </si>
  <si>
    <t>труба ПВХ д.20</t>
  </si>
  <si>
    <t>55</t>
  </si>
  <si>
    <t>56</t>
  </si>
  <si>
    <t>лампа светодиодная А60 15Вт</t>
  </si>
  <si>
    <t>57</t>
  </si>
  <si>
    <t>ИЗУ-Т-70</t>
  </si>
  <si>
    <t>58</t>
  </si>
  <si>
    <t>лампа ДРВ (замена ЛОН)</t>
  </si>
  <si>
    <t>Итого по нормативу №3</t>
  </si>
  <si>
    <t>3.Работы по очистке ливневой канализации</t>
  </si>
  <si>
    <t xml:space="preserve">5. Работы по  благоустройству и озеленению </t>
  </si>
  <si>
    <t>Итого по нормативу №5</t>
  </si>
  <si>
    <t>7 Работы по содержанию сетей уличного освещения</t>
  </si>
  <si>
    <t>май</t>
  </si>
  <si>
    <t>итого май:</t>
  </si>
  <si>
    <t>итого май</t>
  </si>
  <si>
    <t>РАСЧЕТ №5-26</t>
  </si>
  <si>
    <t>Посадка цветов в клумбы, рабатки и вазы-цветочницы: летников горшечных</t>
  </si>
  <si>
    <t>1000 шт.</t>
  </si>
  <si>
    <t>РАСЧЕТ №5-35</t>
  </si>
  <si>
    <t>Прополка: цветников с применением полотиков</t>
  </si>
  <si>
    <t xml:space="preserve">100 м2 цветников </t>
  </si>
  <si>
    <t>РАСЧЕТ №5-36</t>
  </si>
  <si>
    <t>Рыхление цветников ручным инструментом</t>
  </si>
  <si>
    <t>РАСЧЕТ №5-37</t>
  </si>
  <si>
    <t>Выкашивание газонов партерных и обыкновенных моторной косилкой</t>
  </si>
  <si>
    <t xml:space="preserve">100 м2  газонов </t>
  </si>
  <si>
    <t>РАСЧЕТ №5-38</t>
  </si>
  <si>
    <t>Выкашивание газонов луговых тракторной косилкой</t>
  </si>
  <si>
    <t>1 га газонов луговых</t>
  </si>
  <si>
    <t>РАСЧЕТ №5-39</t>
  </si>
  <si>
    <t>Полив зеленых насаждений: из шланга поливомоечной машины</t>
  </si>
  <si>
    <t>1 м3 выливаемой воды</t>
  </si>
  <si>
    <t>РАСЧЕТ №5-40</t>
  </si>
  <si>
    <t>Уборка опавших листьев при засоренности: средней-очистка клумб и газонов от старых цветов и травы</t>
  </si>
  <si>
    <t>Благоустройство-прочие работы (содержание фонтанов, уборка песка и мусора от бордюров и на дорожках)</t>
  </si>
  <si>
    <t>Расчет №7-28</t>
  </si>
  <si>
    <t>Кабель до 35 кВ в проложенных трубах, блоках и коробах, масса 1 м кабеля: до 1 кг</t>
  </si>
  <si>
    <t>100 м кабеля</t>
  </si>
  <si>
    <t>Расчет №7-31</t>
  </si>
  <si>
    <t>Кронштейны специальные на опорах для светильников сварные металлические, количество рожков: 2</t>
  </si>
  <si>
    <t>Расчет №7-38</t>
  </si>
  <si>
    <t>Труба винипластовая по установленным конструкциям, по стенам и колоннам с креплением скобами, диаметр: до 25 мм</t>
  </si>
  <si>
    <t>100 м</t>
  </si>
  <si>
    <t>Расчет №7-40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</si>
  <si>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</si>
  <si>
    <t>Расчет №7-45</t>
  </si>
  <si>
    <t>Автомат одно-, двух-, трехполюсный, устанавливаемый на конструкции: на стене или колонне, на ток до 25 А</t>
  </si>
  <si>
    <t>Расчет №7-48</t>
  </si>
  <si>
    <t>Пускатель магнитный общего назначения отдельно стоящий, устанавливаемый на конструкции: на стене или колонне, на ток до 40 А</t>
  </si>
  <si>
    <t>Расчет №7-76</t>
  </si>
  <si>
    <t>Автогидроподъемники высотой подъема 22 м</t>
  </si>
  <si>
    <t>маш.-ч</t>
  </si>
  <si>
    <t>труба ПВХ гофр. 20мм с протяжкой</t>
  </si>
  <si>
    <t>кабель ВВГнг 3*1,5</t>
  </si>
  <si>
    <t>стяжки нейлоновые</t>
  </si>
  <si>
    <t>уп</t>
  </si>
  <si>
    <t>колодка ЗВИ-20 4-10мм2 пвх</t>
  </si>
  <si>
    <t>держатель для РКУ (жку) кронштейн д42(45)мм</t>
  </si>
  <si>
    <t>01 июня 2018г.</t>
  </si>
  <si>
    <t>01.05.2018</t>
  </si>
  <si>
    <t>31.05.2018</t>
  </si>
  <si>
    <t>О ПРИЕМКЕ ВЫПОЛНЕННЫХ РАБОТ за май  2018г.</t>
  </si>
  <si>
    <t>Расчет№6-4</t>
  </si>
  <si>
    <t>Ямочный ремонт асфальтобетонных покрытий струйно-инъекционным методом, глубина выбоин 70 мм, площадь ремонта в одном месте до 1 м2 включительно</t>
  </si>
  <si>
    <t>Расчет№6-9</t>
  </si>
  <si>
    <t>Нанесение линий дорожной разметки на покрытие с поверхностной обработкой вручную, разметка 1.15, 1.25 "Лежачий полицейский"</t>
  </si>
  <si>
    <t>100 м разметки</t>
  </si>
  <si>
    <t>Расчет№6-10</t>
  </si>
  <si>
    <t>Нанесение линий дорожной разметки на покрытие с поверхностной обработкой вручную, разметка 1.14.1, длина полосы 4 м (бело-желтая)-пешеходный переход</t>
  </si>
  <si>
    <t>6. Работы по содержанию автомобильных дорог общего пользования местного значения в летний период</t>
  </si>
  <si>
    <t>июнь</t>
  </si>
  <si>
    <t>итого июнь</t>
  </si>
  <si>
    <t>РАСЧЕТ №5-33</t>
  </si>
  <si>
    <t>Уход: за цветниками из многолетников</t>
  </si>
  <si>
    <t>100 м2 цветников и газонов</t>
  </si>
  <si>
    <t>РАСЧЕТ №5-39-1</t>
  </si>
  <si>
    <t>Полив зеленых насаждений: из шланга поливомоечной машины-без стоимости воды</t>
  </si>
  <si>
    <t>вода на полив</t>
  </si>
  <si>
    <t>м3</t>
  </si>
  <si>
    <t>РАСЧЕТ №5-42</t>
  </si>
  <si>
    <t>Уничтожение сорняков на набивных дорожках и площадках ядохимикатами</t>
  </si>
  <si>
    <t>РАСЧЕТ № 8-24</t>
  </si>
  <si>
    <t>Автогидроподъемники высотой подъема 22 м-ремонт памятников</t>
  </si>
  <si>
    <t>маш-час</t>
  </si>
  <si>
    <t>Благоустройство-прочие работы (содержание фонтанов, уборка песка и мусора от бордюров и на дорожках, ремонт памятников)</t>
  </si>
  <si>
    <t>вода для фонтана</t>
  </si>
  <si>
    <t>Благоустройство-прочие работы (содержание городского пляжа)</t>
  </si>
  <si>
    <t>Расчет№6-3</t>
  </si>
  <si>
    <t xml:space="preserve">Заделка трещин битумом в асфальтобетонном покрытии вручную </t>
  </si>
  <si>
    <t>100 м трещин</t>
  </si>
  <si>
    <t>Расчет№6-5</t>
  </si>
  <si>
    <t>Укладка и полупропитка щебеночных покрытий или оснований толщиной 5 см с применением битумной эмульсии (укрепление обочин)</t>
  </si>
  <si>
    <t xml:space="preserve">Битумная эмульсия </t>
  </si>
  <si>
    <t>Щебень  фр. 5 - 10 мм</t>
  </si>
  <si>
    <t xml:space="preserve"> т</t>
  </si>
  <si>
    <t>Щебень  фр. 5 - 20 мм</t>
  </si>
  <si>
    <t>Краска разметочная для дорожных работ -эмаль белая</t>
  </si>
  <si>
    <t>кг</t>
  </si>
  <si>
    <t>Краска разметочная для дорожных работ -эмаль желтая</t>
  </si>
  <si>
    <t>июль</t>
  </si>
  <si>
    <t>итого июль</t>
  </si>
  <si>
    <t>содержание городского пляжа</t>
  </si>
  <si>
    <t>РАСЧЕТ №5-53</t>
  </si>
  <si>
    <t>Устройство подстилающих и выравнивающих слоев оснований: из песка-без стоимости песка</t>
  </si>
  <si>
    <t xml:space="preserve">100 м3 </t>
  </si>
  <si>
    <t>РАСЧЕТ №5-54</t>
  </si>
  <si>
    <t>Выравнивание береговой линии пляжа (применит)</t>
  </si>
  <si>
    <t>100 м2 подстилающего слоя</t>
  </si>
  <si>
    <t>РАСЧЕТ №5-55</t>
  </si>
  <si>
    <t>Песок природный для строительных работ средний</t>
  </si>
  <si>
    <t>РАСЧЕТ №5-57</t>
  </si>
  <si>
    <t>Ремонт раздевалок (применит)</t>
  </si>
  <si>
    <t>14</t>
  </si>
  <si>
    <t>РАСЧЕТ №5-51</t>
  </si>
  <si>
    <t>Профнастил оцинкованный с покрытием полиэстер матовый C8-1150-0,5</t>
  </si>
  <si>
    <t>м2</t>
  </si>
  <si>
    <t>РАСЧЕТ №5-58</t>
  </si>
  <si>
    <t>Улучшенная окраска масляными составами раздевалок (применит)</t>
  </si>
  <si>
    <t>Автогидроподъемники высотой подъема 22 м-на работах по благоустройству</t>
  </si>
  <si>
    <t>17</t>
  </si>
  <si>
    <t>18</t>
  </si>
  <si>
    <t>19</t>
  </si>
  <si>
    <t>Смена ламп: ДРЛ</t>
  </si>
  <si>
    <t>Расчет №7-5</t>
  </si>
  <si>
    <t xml:space="preserve">Смена светильников: с лампами накаливания-ремонт светильников </t>
  </si>
  <si>
    <t>Смена электросчетчиков (применительно-счетчика воды )</t>
  </si>
  <si>
    <t>Расчет №7-13</t>
  </si>
  <si>
    <t>Ремонт щита учета со сменой автоматов</t>
  </si>
  <si>
    <t>Расчет №7-17</t>
  </si>
  <si>
    <t>Демонтаж прибора измерения и защиты, количество подключаемых концов: до 6-ПМЛ</t>
  </si>
  <si>
    <t>Расчет №7-18</t>
  </si>
  <si>
    <t>Установка прибора измерения и защиты, количество подключаемых концов: до 6-ПМЛ</t>
  </si>
  <si>
    <t>Прожектор, отдельно устанавливаемый: на кронштейне -прожектор 100вт</t>
  </si>
  <si>
    <t>Расчет №7-67</t>
  </si>
  <si>
    <t>Установка светильников: с лампами люминесцентными (светодиодные светильники)</t>
  </si>
  <si>
    <t>1 светильник</t>
  </si>
  <si>
    <t>Реле времени : группа сложности ремонта I (снятие показаний  в КТП)</t>
  </si>
  <si>
    <t>РАСЧЕТ № 8-10</t>
  </si>
  <si>
    <t>Растяжка поперечная: с двойным креплением к стене-монтаж  иллюминации без стоимости механизмов-светодиодная лента на столб</t>
  </si>
  <si>
    <t>РАСЧЕТ № 8-11</t>
  </si>
  <si>
    <t>Растяжка поперечная: с двойным креплением к стене-демонтаж иллюминации без стоимости механизмов</t>
  </si>
  <si>
    <t>Стекло НББ бол.пластик(85-200)</t>
  </si>
  <si>
    <t>Основание НТУ черное карб.</t>
  </si>
  <si>
    <t>Лампа светодиодная Ферон 15Вт Е27</t>
  </si>
  <si>
    <t>Коробка 80х80х40 квадратная</t>
  </si>
  <si>
    <t>Клипса для гофры ПВХ "ИЭК"20</t>
  </si>
  <si>
    <t xml:space="preserve">Светильник светод.8Вт герм. </t>
  </si>
  <si>
    <t>Изолента 19х25 м серо-стальная</t>
  </si>
  <si>
    <t>Диэлектрический коврик</t>
  </si>
  <si>
    <t xml:space="preserve">Изолента </t>
  </si>
  <si>
    <t>Хомут гибкий черный 4,8-300 мм</t>
  </si>
  <si>
    <t>Вилка евро Каучук Турция 201</t>
  </si>
  <si>
    <t>Вилка эл. Универсальная</t>
  </si>
  <si>
    <t>Щит Шрун 3/12</t>
  </si>
  <si>
    <t>Пускатель ПМЕ 211 220 В</t>
  </si>
  <si>
    <t>Таймер суточный ТЭМ 181 16 А 230 В</t>
  </si>
  <si>
    <t>Коробка Люкс 150х110</t>
  </si>
  <si>
    <t xml:space="preserve"> Клипса для гофры ПВХ "ИЭК" 20</t>
  </si>
  <si>
    <t>Скоба для крепления ленты</t>
  </si>
  <si>
    <t xml:space="preserve"> Зажим ответвительный 16-70</t>
  </si>
  <si>
    <t xml:space="preserve"> Изолента 19х25 м серо-стальная</t>
  </si>
  <si>
    <t xml:space="preserve"> Кабель-канал 16х16 (2м)</t>
  </si>
  <si>
    <t>Дин-рейка 10 см</t>
  </si>
  <si>
    <t>Пускатель ПМЛ 4 100</t>
  </si>
  <si>
    <t xml:space="preserve"> Автомат ВА88-32 125А</t>
  </si>
  <si>
    <t xml:space="preserve"> Счетчик "Меркурий" 5-60 А 3-фаз.</t>
  </si>
  <si>
    <t xml:space="preserve"> Счетчик 3-ф Нева 5-100А щитовой/дин-рейка</t>
  </si>
  <si>
    <t xml:space="preserve"> Трубка термоусад. 16/8 красная 1м</t>
  </si>
  <si>
    <t xml:space="preserve"> Трубка термоусадочная 30/15</t>
  </si>
  <si>
    <t>Трубка термоусадочная 20/10 мм</t>
  </si>
  <si>
    <t xml:space="preserve"> Коробка Люкс 150х110</t>
  </si>
  <si>
    <t>Хомут гибкий 4,8*350 мм</t>
  </si>
  <si>
    <t>уп.</t>
  </si>
  <si>
    <t xml:space="preserve"> Кронштейн для РКУ</t>
  </si>
  <si>
    <t xml:space="preserve"> Хомут " Вихрь" 3,6*250</t>
  </si>
  <si>
    <t>август</t>
  </si>
  <si>
    <t>итого август</t>
  </si>
  <si>
    <t>удобрения</t>
  </si>
  <si>
    <t>РАСЧЕТ №5-49</t>
  </si>
  <si>
    <t>Ремонт  ограждений (применит.)</t>
  </si>
  <si>
    <t>установка светильников на пр.50-летия Победы</t>
  </si>
  <si>
    <t>Расчет№6-6</t>
  </si>
  <si>
    <t>Установка светильников(применительно )</t>
  </si>
  <si>
    <t>шт</t>
  </si>
  <si>
    <t>Бетон с доставкой</t>
  </si>
  <si>
    <t xml:space="preserve">Смена электросчетчиков </t>
  </si>
  <si>
    <t>Расчет №7-29</t>
  </si>
  <si>
    <t>Затягивание провода в проложенные трубы и металлические рукава -кабель-два прокола (пр.50-летия Победы)</t>
  </si>
  <si>
    <t>Расчет №7-68-1</t>
  </si>
  <si>
    <t>Демонтаж СИП с использованием автогидроподъемника</t>
  </si>
  <si>
    <t xml:space="preserve">Растяжка поперечная: с двойным креплением к стене-монтаж  иллюминации без стоимости механизмов-светодиодная лента </t>
  </si>
  <si>
    <t>лента бандажная 0,7*20</t>
  </si>
  <si>
    <t>металлорукав в ПХВ оболочке 32</t>
  </si>
  <si>
    <t>кабель ВВГнг(А) 5*6ок 0,66</t>
  </si>
  <si>
    <t>стекло НББ бол.</t>
  </si>
  <si>
    <t>зажим анкерный для пров. РА25*100 для СИП 4-жил</t>
  </si>
  <si>
    <t>коробка распред.ОП100*100*50</t>
  </si>
  <si>
    <t xml:space="preserve">зажим ответвит </t>
  </si>
  <si>
    <t>автомат ВА 88-32 125А</t>
  </si>
  <si>
    <t>сентябрь</t>
  </si>
  <si>
    <t>итого сентябрь</t>
  </si>
  <si>
    <t xml:space="preserve">2.Работы по вывозу спиленных деревьев и выкорчеванных пней (ул. Карла Маркса, Прокопенко, 25 Октября, Урицкого, 1 Мая, Володарского, Советская, Октябрьская)                    </t>
  </si>
  <si>
    <t>Итого по нормативу №2-тротуары</t>
  </si>
  <si>
    <t>Смена светильников: с лампами накаливания</t>
  </si>
  <si>
    <t>Установка светильников: с лампами люминесцентными (светодиодные светильники, РКУ)</t>
  </si>
  <si>
    <t>Подвеска самонесущих изолированных проводов (СИП-2А) напряжением от 0,4 кВ до 1 кВ (со снятием напряжения) при количестве 29 опор: с использованием автогидроподъемника</t>
  </si>
  <si>
    <t>Реле времени : группа сложности ремонта I (коррекция реле  в КТП)</t>
  </si>
  <si>
    <t xml:space="preserve">Растяжка поперечная: с двойным креплением к стене-монтаж  иллюминации без стоимости механизмов-панно </t>
  </si>
  <si>
    <t>труба пвх гибкая гофр 25мм</t>
  </si>
  <si>
    <t>коробка распред.70-70-40мм</t>
  </si>
  <si>
    <t>лампа светодиодная</t>
  </si>
  <si>
    <t>20</t>
  </si>
  <si>
    <t>колодка</t>
  </si>
  <si>
    <t>21</t>
  </si>
  <si>
    <t>металлорукав</t>
  </si>
  <si>
    <t>корпус металлическийЩМП 500*400*220</t>
  </si>
  <si>
    <t>УЗО 25А</t>
  </si>
  <si>
    <t>автоматический выключатель 125А</t>
  </si>
  <si>
    <t>таймер 16А</t>
  </si>
  <si>
    <t>автоматический выключатель 25А</t>
  </si>
  <si>
    <t>контактор25А</t>
  </si>
  <si>
    <t>DIN-рейка600мм</t>
  </si>
  <si>
    <t>РАСЧЕТ № 2-3</t>
  </si>
  <si>
    <t>Валка деревьев с применением автогидроподъемника без корчевки пня породы тополь при диаметре ствола: до 100 см</t>
  </si>
  <si>
    <t>РАСЧЕТ № 2-4</t>
  </si>
  <si>
    <t>Краны на автомобильном ходу при работе на других видах строительства 16 т</t>
  </si>
  <si>
    <t>октябрь</t>
  </si>
  <si>
    <t>итого октябрь</t>
  </si>
  <si>
    <t>окт</t>
  </si>
  <si>
    <t>дек</t>
  </si>
  <si>
    <t>РАСЧЕТ №5-6</t>
  </si>
  <si>
    <t>Посадка деревьев и кустарников с комом земли размером: 0,5x0,5x0,4 м-без стоимости деревьев</t>
  </si>
  <si>
    <t>10 шт</t>
  </si>
  <si>
    <t>РАСЧЕТ №5-12</t>
  </si>
  <si>
    <t>Посадка кустарников-саженцев в группы, размер ямы: 0,5x0,5 м-без стоимости саженцев</t>
  </si>
  <si>
    <t>10шт</t>
  </si>
  <si>
    <t>Расчет№8-11.6</t>
  </si>
  <si>
    <t>Наружные инженерные сети: разборка, очистка (ремонтно-строительные)-установка ливневой трубы</t>
  </si>
  <si>
    <t>Благоустройство-прочие работы (содержание фонтанов, уборка песка и мусора от бордюров,  на дорожках , остановках и площадках отдыха)</t>
  </si>
  <si>
    <t>Установка прибора измерения и защиты, количество подключаемых концов: до 6 (УЗО)</t>
  </si>
  <si>
    <t>Светильник, устанавливаемый вне зданий с лампами: люминесцентными-монтаж (опоры освещ)</t>
  </si>
  <si>
    <t>Расчет №7-52</t>
  </si>
  <si>
    <t>Прибор или аппарат (ШР)</t>
  </si>
  <si>
    <t>Прожектор, отдельно устанавливаемый: на кронштейне, установленном на опоре, с лампой мощностью 500 Вт</t>
  </si>
  <si>
    <t>Провод ПУНП 3х1,5</t>
  </si>
  <si>
    <t>Фонарь Navigator</t>
  </si>
  <si>
    <t>Кронштейн для РКУ</t>
  </si>
  <si>
    <t>Хомут " Вихрь" 3,6*250</t>
  </si>
  <si>
    <t>Зажим анкерный для пров. РА 25х100 для СИПА 4-жил</t>
  </si>
  <si>
    <t>Металлопукав (д) 15 Урал Пак</t>
  </si>
  <si>
    <t>Провод ПВС 3х2,5</t>
  </si>
  <si>
    <t>Грунт-эмаль "Престиж" 3в1 серый 1,9 кг</t>
  </si>
  <si>
    <t>Уголок 35*35*4 мм (6м)</t>
  </si>
  <si>
    <t>Труба 57*3,0 мм</t>
  </si>
  <si>
    <t>Электроды "Стандарт" ф 3 мм 1 кг</t>
  </si>
  <si>
    <t>упак</t>
  </si>
  <si>
    <t>Труба профильная 100*100*3 мм (6 м)</t>
  </si>
  <si>
    <t>Уголок 75*75*5 мм (6м)</t>
  </si>
  <si>
    <t>Труба профильная 50*50*2,0 мм</t>
  </si>
  <si>
    <t>Уголок 100*100*7 мм (12м)</t>
  </si>
  <si>
    <t>Арматура ф18 мм (11,7 м)</t>
  </si>
  <si>
    <t>Навершение заглушка ПНД 25 мм 100*100 мм</t>
  </si>
  <si>
    <t>Труба 15*2,5 мм (7,80м)</t>
  </si>
  <si>
    <t>59</t>
  </si>
  <si>
    <t>Пескосмесь М300 25 кг (пескобетон)</t>
  </si>
  <si>
    <t>Перевозка грузов автомобилями-самосвалами грузоподъемностью 10 т, работающих вне карьера, на расстояние: до 18 км I класс груза (деревья, спиленные в октябре и ноябре)</t>
  </si>
  <si>
    <t>ноябрь</t>
  </si>
  <si>
    <t>итого ноябрь</t>
  </si>
  <si>
    <t>услуги автомобиля (ИП Нестеренко)</t>
  </si>
  <si>
    <t>час</t>
  </si>
  <si>
    <t>услуги крана-манипулятора</t>
  </si>
  <si>
    <t>итого ноябрь:</t>
  </si>
  <si>
    <t>Обрезка и прореживание колючих одиночных кустарников-роз</t>
  </si>
  <si>
    <t>РАСЧЕТ №5-34</t>
  </si>
  <si>
    <t>Укрытие на зиму теплолюбивых кустарников и роз</t>
  </si>
  <si>
    <t>10 кустарников</t>
  </si>
  <si>
    <t>Наружные инженерные сети: (ремонтно-строительные)-увеличение высоты канализационных колодцев</t>
  </si>
  <si>
    <t xml:space="preserve">Благоустройство-прочие работы </t>
  </si>
  <si>
    <t>вода для полива</t>
  </si>
  <si>
    <t>услуги сторонней организации</t>
  </si>
  <si>
    <t>Заготовка чернозема  и засыпка в газоны</t>
  </si>
  <si>
    <t>РАСЧЕТ №5-61</t>
  </si>
  <si>
    <t>Разработка грунта с перемещением до 10 м бульдозерами мощностью: 59 кВт (80 л.с.), группа грунтов 2</t>
  </si>
  <si>
    <t>1000 м3 грунта</t>
  </si>
  <si>
    <t>РАСЧЕТ №5-62</t>
  </si>
  <si>
    <t>При перемещении грунта на каждые последующие 10 м добавлять: к расценке 01-01-030-02</t>
  </si>
  <si>
    <t>РАСЧЕТ №5-63</t>
  </si>
  <si>
    <t>Разработка грунта с погрузкой в автомобили-самосвалы экскаваторами типа "ATLAS", "VOLVO", "KOMATSU", "HITACHI", "LIEBHER" с ковшом вместимостью 0,4 (0,35-0,45) м3, группа грунтов: 1</t>
  </si>
  <si>
    <t>РАСЧЕТ №5-64</t>
  </si>
  <si>
    <t>Перевозка грузов автомобилями-самосвалами грузоподъемностью 10 т, работающих вне карьера, на расстояние: до 20 км I класс груза</t>
  </si>
  <si>
    <t>РАСЧЕТ №5-65</t>
  </si>
  <si>
    <t>Перевозка грузов автомобилями-самосвалами грузоподъемностью 10 т, работающих вне карьера, добавлять на пробег до места выполнения работ и возвращение по окончании работ за 1 км: I класс груза</t>
  </si>
  <si>
    <t>РАСЧЕТ №5-66</t>
  </si>
  <si>
    <t>Работа на отвале, группа грунтов: 1</t>
  </si>
  <si>
    <t>РАСЧЕТ №5-67</t>
  </si>
  <si>
    <t>Ремонт и содержание грунтовых землевозных дорог на каждые 0,5 км длины, группа грунтов: 2</t>
  </si>
  <si>
    <t>услуги экскаватора  JCB</t>
  </si>
  <si>
    <t>услуги экскаватора  JCB(за октябрь)</t>
  </si>
  <si>
    <t>Установка прибора измерения и защиты, количество подключаемых концов: до 6 (УЗО, ОИН)</t>
  </si>
  <si>
    <t>Расчет №7-39</t>
  </si>
  <si>
    <t>Труба винипластовая по установленным конструкциям, по стенам и колоннам с креплением скобами, диаметр: до 50 мм</t>
  </si>
  <si>
    <t>Расчет №7-62</t>
  </si>
  <si>
    <t>Счетчики, устанавливаемые на готовом основании: однофазные</t>
  </si>
  <si>
    <t>Расчет №7-72</t>
  </si>
  <si>
    <t xml:space="preserve">Дневной осмотр воздушной линии электропередачи без ее отключения                          </t>
  </si>
  <si>
    <t>км</t>
  </si>
  <si>
    <t>Расчет №7-73</t>
  </si>
  <si>
    <t>Внеочередной осмотр линий электропередачи : обход линии</t>
  </si>
  <si>
    <t>Установка дорожных знаков бесфундаментных на металлических стойках огрунтованных и окрашенных за 2 раза (стоимость щитков дорожных знаков не учитывается )</t>
  </si>
  <si>
    <t>Знак дорожный 3,1 тип 2 пл. (типА)</t>
  </si>
  <si>
    <t>Знак дорожный 6.8.1 тип 2 пл. (типА)</t>
  </si>
  <si>
    <t>60</t>
  </si>
  <si>
    <t>Знак дорожный 6.4 тип 2 пл. (типА)</t>
  </si>
  <si>
    <t>61</t>
  </si>
  <si>
    <t>62</t>
  </si>
  <si>
    <t>63</t>
  </si>
  <si>
    <t>64</t>
  </si>
  <si>
    <t>65</t>
  </si>
  <si>
    <t>66</t>
  </si>
  <si>
    <t>67</t>
  </si>
  <si>
    <t>смесь песчано-соляная (0,2т на 1000м2)</t>
  </si>
  <si>
    <t>68</t>
  </si>
  <si>
    <t>69</t>
  </si>
  <si>
    <t>70</t>
  </si>
  <si>
    <t>РАСЧЕТ № 3-3</t>
  </si>
  <si>
    <t>Разработка грунта вручную-устройство водоотводной канавы</t>
  </si>
  <si>
    <t>71</t>
  </si>
  <si>
    <t>72</t>
  </si>
  <si>
    <t>РАСЧЕТ № 3-7</t>
  </si>
  <si>
    <t xml:space="preserve">Разработка грунта вручную -зачистка днища дождеприемников </t>
  </si>
  <si>
    <t>73</t>
  </si>
  <si>
    <t>74</t>
  </si>
  <si>
    <t>75</t>
  </si>
  <si>
    <t>неучтенные нормативами материалы:</t>
  </si>
  <si>
    <t>Панель Медиум 1,53х2,5 Rah 6005</t>
  </si>
  <si>
    <t>Арматура ф10 мм (11,7 м)</t>
  </si>
  <si>
    <t>Труба 25*2,8 мм (6,00 м)</t>
  </si>
  <si>
    <t>Труба 102*3 мм (11,4 м)</t>
  </si>
  <si>
    <t>Труба 40*3,0 мм (10,5 м)</t>
  </si>
  <si>
    <t>Прут 10 мм (6м) ст3пс</t>
  </si>
  <si>
    <t>Круг абр. 125*1,2*22 Abraflex</t>
  </si>
  <si>
    <t>Труба профильная 40*20*1,8/2,0 мм (6м)</t>
  </si>
  <si>
    <t>Круг абр. 150*1,6*22 Луга Премиум</t>
  </si>
  <si>
    <t>труба ПНД ДН50</t>
  </si>
  <si>
    <t>проволока вязальная 3мм</t>
  </si>
  <si>
    <t>Бордюр</t>
  </si>
  <si>
    <t>Лента перфор прямая 20*0,5-0,56</t>
  </si>
  <si>
    <t>Наноизол С(35м2)</t>
  </si>
  <si>
    <t>Пена монт. Kimtec 750мл</t>
  </si>
  <si>
    <t>Цемент М500 50 кг</t>
  </si>
  <si>
    <t>Люк полимер-песчаный легкий 1,5 тон черный</t>
  </si>
  <si>
    <t xml:space="preserve">Утеплитель фольгир </t>
  </si>
  <si>
    <t>Рейка 30*40 3м</t>
  </si>
  <si>
    <t>Счетчик д/в Бетар 1/2 антимагн</t>
  </si>
  <si>
    <t>Волюта Т-20 860-334</t>
  </si>
  <si>
    <t>Труба п/эт Ду64</t>
  </si>
  <si>
    <t>Лента сигнальная</t>
  </si>
  <si>
    <t>Труба ПНД из полиэт ДН 25 С 6,4</t>
  </si>
  <si>
    <t>Эмаль аэроз Престиж хром 425 мл</t>
  </si>
  <si>
    <t>Лента метал</t>
  </si>
  <si>
    <t>Муфта</t>
  </si>
  <si>
    <t>Хомут</t>
  </si>
  <si>
    <t>Соединитель</t>
  </si>
  <si>
    <t>Эмаль ПФ-115 1,9 кг</t>
  </si>
  <si>
    <t>Медный купорос 400 гр</t>
  </si>
  <si>
    <t>Брус 30*40 3м фугован</t>
  </si>
  <si>
    <t>Клемма "ИЭК" 12*36</t>
  </si>
  <si>
    <t>Автомат выкл. 25 А 2-ф</t>
  </si>
  <si>
    <t>"Этюд" розетка 2-я евро ОП</t>
  </si>
  <si>
    <t>Кабель СИП-4 4х16мм кв.</t>
  </si>
  <si>
    <t>Стекло НББ бол. пластик (85-200)</t>
  </si>
  <si>
    <t>Клемма "ИЭК" 12*35</t>
  </si>
  <si>
    <t>Кольцо эл.монтажное без дна</t>
  </si>
  <si>
    <t>Хомут гибкий 4,8*300 мм</t>
  </si>
  <si>
    <t>Лампа светодиодная ЭРА 17 Вт Е-27</t>
  </si>
  <si>
    <t>Светодиодная панель 36 W "призма"</t>
  </si>
  <si>
    <t>Лампа светодиодная ФЕРОН 9Вт G5,3</t>
  </si>
  <si>
    <t xml:space="preserve">Скоба пластик Навигатор </t>
  </si>
  <si>
    <t>Автоматич.выкл. 16 А 2-ф.</t>
  </si>
  <si>
    <t>Автомат ВА88-32 125А</t>
  </si>
  <si>
    <t xml:space="preserve">Кабель СИП-4 2х16 мм кв. </t>
  </si>
  <si>
    <t xml:space="preserve">Зажим ответвительный </t>
  </si>
  <si>
    <t>ИЭК авт. выкл. ВА88-32 3Р 32А 25кА</t>
  </si>
  <si>
    <t xml:space="preserve">Счетчик электроэнергии однофазный однотарифный СЕ 101 R5.1 145М6 5-60А 220В 1,0 комбинированный </t>
  </si>
  <si>
    <t>Выключатель автомат. 2п 25А С ВА 47-29 (MVA20-2-025-C) ИЭК</t>
  </si>
  <si>
    <t>Устройство защитного отключения (УЗО) 2п 25А 30мА ВД1-63 (MDV10-2-025-030) ИЭК</t>
  </si>
  <si>
    <t>Дин-рейка 200 мм оцинкованная YDN10-0020 ИЭК</t>
  </si>
  <si>
    <t>Ограничитель импульсного напряжения ОИН 1-275-12,5 Энергомера</t>
  </si>
  <si>
    <t>Корпус металлический ЩМП 1 IP54 395х310х220 с монтажой панелью RAL 7032 Фабер</t>
  </si>
  <si>
    <t>итого неучтенные материалы ноябрь</t>
  </si>
  <si>
    <t>итого декабрь</t>
  </si>
  <si>
    <t>автоперевозки (ООО Агроспутник-Транс)</t>
  </si>
  <si>
    <t>автоперевозки (ООО Инвестстрой)</t>
  </si>
  <si>
    <t>Ремонт мусорных контейнеров</t>
  </si>
  <si>
    <t>Ремонт металлических ограждений: средний</t>
  </si>
  <si>
    <t xml:space="preserve">                           Установка новогодней елки</t>
  </si>
  <si>
    <t>Прибор или аппарат (монтаж щитов управления)</t>
  </si>
  <si>
    <t>РАСЧЕТ № 8-5</t>
  </si>
  <si>
    <t>Монтаж елочной конструкции (применительно)</t>
  </si>
  <si>
    <t xml:space="preserve">1 т </t>
  </si>
  <si>
    <t>РАСЧЕТ № 8-6</t>
  </si>
  <si>
    <t xml:space="preserve">Монтаж  игрушек на елку </t>
  </si>
  <si>
    <t>РАСЧЕТ № 8-7</t>
  </si>
  <si>
    <t xml:space="preserve">Устройство ограждения вокруг ели  </t>
  </si>
  <si>
    <t>Растяжка поперечная:-монтаж  иллюминации без стоимости механизмов-гирлянды</t>
  </si>
  <si>
    <t>РАСЧЕТ № 8-10, к=0,3</t>
  </si>
  <si>
    <t>Растяжка поперечная:-монтаж  иллюминации без стоимости механизмов-звезда,снежинки</t>
  </si>
  <si>
    <t>Очистка дороги от снега плужными снегоочистителями на базе трактора</t>
  </si>
  <si>
    <t>Концентрат минеральный-галит, тип С, сорт первый</t>
  </si>
  <si>
    <t>Провод ПВС 2х0,76</t>
  </si>
  <si>
    <t>Клемма ВАГО 5х5</t>
  </si>
  <si>
    <t>Трос металлический №5</t>
  </si>
  <si>
    <t>"Универсал" Бриллиант розетка 2-ая белый</t>
  </si>
  <si>
    <t>Лампа 75 Вт Е-28</t>
  </si>
  <si>
    <t>Патрон керамический Е 28</t>
  </si>
  <si>
    <t>Провод ПВС 2х1,6</t>
  </si>
  <si>
    <t>Хомут гибкий 2,5*250мм</t>
  </si>
  <si>
    <t>Пускатель ПМЕ 211 381</t>
  </si>
  <si>
    <t>Пакет для мусора</t>
  </si>
  <si>
    <t>Пакеты для мусора 220л,10 шт.</t>
  </si>
  <si>
    <t>Ветошь</t>
  </si>
  <si>
    <t>Известь гранул. 2 кг</t>
  </si>
  <si>
    <t>Макловица</t>
  </si>
  <si>
    <t>Ведро</t>
  </si>
  <si>
    <t xml:space="preserve">Лопата с черенком </t>
  </si>
  <si>
    <t>Электроды № 3</t>
  </si>
  <si>
    <t xml:space="preserve">Болт </t>
  </si>
  <si>
    <t>Скобы</t>
  </si>
  <si>
    <t>Белизна 1л</t>
  </si>
  <si>
    <t>Чистящее средство Биолан+чистин</t>
  </si>
  <si>
    <t>Мыло Дива 70 гр.</t>
  </si>
  <si>
    <t>Бумага туал Люкс</t>
  </si>
  <si>
    <t>Эмаль ПФ-115 0,9 кг</t>
  </si>
  <si>
    <t>Кисть мал Барокко 1,5</t>
  </si>
  <si>
    <t>Перчатки с ПВХ</t>
  </si>
  <si>
    <t>пар</t>
  </si>
  <si>
    <t xml:space="preserve">Шпагат </t>
  </si>
  <si>
    <t>Тепловентилятор</t>
  </si>
  <si>
    <t>Лопата снеговая</t>
  </si>
  <si>
    <t>Освежитель воздуха</t>
  </si>
  <si>
    <t>Хлорка 400 гр</t>
  </si>
  <si>
    <t xml:space="preserve">Лопата </t>
  </si>
  <si>
    <t>Чистящее средство Пемолюкс</t>
  </si>
  <si>
    <t>Пена монт. HAUSER всесезонная 750мл</t>
  </si>
  <si>
    <t>Фал капронов</t>
  </si>
  <si>
    <t>Проволока вязальная 3мм</t>
  </si>
  <si>
    <t>Гвозди</t>
  </si>
  <si>
    <t>Замок вис</t>
  </si>
  <si>
    <t>Компенсатор Ду25</t>
  </si>
  <si>
    <t>Саморезы</t>
  </si>
  <si>
    <t xml:space="preserve">Лист шлифовальный </t>
  </si>
  <si>
    <t>Сверло</t>
  </si>
  <si>
    <t xml:space="preserve">Саморез пресс-ш. 4,2*25 мм ОЦ сверло </t>
  </si>
  <si>
    <t xml:space="preserve">Труба 57*3,0 мм </t>
  </si>
  <si>
    <t>Грунт-эмаль "Престиж3в1", черный 0,9 кг</t>
  </si>
  <si>
    <t xml:space="preserve">Кисть плоская 2,5 натуральная щетина деревянная ручка </t>
  </si>
  <si>
    <t>Гайка 20 мм</t>
  </si>
  <si>
    <t>Колпак RAL3005</t>
  </si>
  <si>
    <t>итого неучтенные материалы декабрь</t>
  </si>
  <si>
    <t>1000м3</t>
  </si>
  <si>
    <t>Ремонт металлических ограждений мусорных контейнеров средний</t>
  </si>
  <si>
    <t>ПМЛ,УЗО</t>
  </si>
  <si>
    <t>демонтаж</t>
  </si>
  <si>
    <t>монтаж</t>
  </si>
  <si>
    <t>Россыпь песка вручную: на тротуарах, остановках общественного транспорта, площадках отдыха</t>
  </si>
  <si>
    <t xml:space="preserve">Очистка обочин от снега                    </t>
  </si>
  <si>
    <t xml:space="preserve">Россыпь противогололедных материалов комбинированной дорожной машиной </t>
  </si>
  <si>
    <t xml:space="preserve">Очистка дорог итротуаров от снега плужными снегоочистителями на базе трактора </t>
  </si>
  <si>
    <t>Работы по вывозу спиленных деревьев и выкорчеванных пней</t>
  </si>
  <si>
    <t>в том числе при устройстве тротуаров</t>
  </si>
  <si>
    <t xml:space="preserve">Зачистка днища дождеприемников </t>
  </si>
  <si>
    <t>Устройство водоотводной канавы</t>
  </si>
  <si>
    <t xml:space="preserve">Погрузка и вывоз автомобилями-самосвалами  ила, земли, грязи </t>
  </si>
  <si>
    <t>Погрузка и вывоз автомобилями-самосвалами  мусора</t>
  </si>
  <si>
    <t>Обрезка роз</t>
  </si>
  <si>
    <t>га</t>
  </si>
  <si>
    <t>Уничтожение сорняков  ядохимикатами</t>
  </si>
  <si>
    <t>Окраска бордюров и столбов с очисткой поверхности</t>
  </si>
  <si>
    <t xml:space="preserve">Ремонт  ограждений </t>
  </si>
  <si>
    <t>Устройство выравнивающих слоев оснований: из песка на пляже</t>
  </si>
  <si>
    <t xml:space="preserve">Выравнивание береговой линии пляжа </t>
  </si>
  <si>
    <t xml:space="preserve">Ремонт раздевалок </t>
  </si>
  <si>
    <t xml:space="preserve">Улучшенная окраска масляными составами раздевалок </t>
  </si>
  <si>
    <t>8.Работы  по  подготовке к праздничным мероприятиям, украшению территории городского поселения - город Богучар и прочие работы</t>
  </si>
  <si>
    <t>Наружные инженерные сети: увеличение высоты канализационных колодцев, установка ливневой трубы</t>
  </si>
  <si>
    <t>Монтаж  праздничной  иллюминации -светодиодная лента на столб, панно, гирлянды</t>
  </si>
  <si>
    <t>Монтаж щитов управления</t>
  </si>
  <si>
    <t>Монтаж елочной конструкции</t>
  </si>
  <si>
    <t>Смена ламп: накаливания, люминесцентных, светодиодных</t>
  </si>
  <si>
    <t xml:space="preserve">Ремонт светильников </t>
  </si>
  <si>
    <t xml:space="preserve">Смена светильников: </t>
  </si>
  <si>
    <t>Демонтаж прибора измерения и защиты-ПМЛ</t>
  </si>
  <si>
    <t>Установка прибора измерения и защиты- ПМЛ, УЗО</t>
  </si>
  <si>
    <t xml:space="preserve">Замена кабеля до 35 кВ </t>
  </si>
  <si>
    <t>Прокладка кабеля до 35 кВ в проложенных трубах, блоках и коробах, масса 1 м кабеля: до 1 кг</t>
  </si>
  <si>
    <t xml:space="preserve">Кронштейны специальные на опорах для светильников </t>
  </si>
  <si>
    <t xml:space="preserve">Затягивание провода в проложенные трубы </t>
  </si>
  <si>
    <t>Автомат одно-, двух-, трехполюсный, устанавливаемый на конструкции, на ток до 25 А</t>
  </si>
  <si>
    <t>Пускатель магнитный</t>
  </si>
  <si>
    <t>Установка светильников: (светодиодные светильники)</t>
  </si>
  <si>
    <t>Реле времени : группа сложности ремонта I (Коррекция реле  в КТП=32шт)</t>
  </si>
  <si>
    <t>раз</t>
  </si>
  <si>
    <t xml:space="preserve">Дневной осмотр воздушной линии электропередачи без ее отключения  -2 раза в месяц                        </t>
  </si>
  <si>
    <t>Внеочередной осмотр линий электропередачи : обход линии-6раз в год</t>
  </si>
  <si>
    <t>Прочие работы</t>
  </si>
  <si>
    <t>Установка новогодней елки</t>
  </si>
  <si>
    <t>Ямочный ремонт асфальтобетонных покрытий струйно-инъекционным методом</t>
  </si>
  <si>
    <t xml:space="preserve">Установка дорожных знаков бесфундаментных на металлических стойках 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</si>
</sst>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6">
    <xf numFmtId="0" fontId="0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22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49" fontId="6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2" fontId="7" fillId="0" borderId="3" xfId="0" applyNumberFormat="1" applyFont="1" applyBorder="1"/>
    <xf numFmtId="0" fontId="7" fillId="0" borderId="0" xfId="0" applyFont="1"/>
    <xf numFmtId="0" fontId="2" fillId="0" borderId="0" xfId="0" applyFont="1"/>
    <xf numFmtId="0" fontId="8" fillId="0" borderId="0" xfId="1"/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/>
    </xf>
    <xf numFmtId="49" fontId="1" fillId="0" borderId="0" xfId="1" applyNumberFormat="1" applyFont="1" applyAlignment="1">
      <alignment horizontal="right" vertical="top"/>
    </xf>
    <xf numFmtId="0" fontId="1" fillId="0" borderId="3" xfId="1" applyFont="1" applyBorder="1" applyAlignment="1">
      <alignment horizontal="center" vertical="top"/>
    </xf>
    <xf numFmtId="49" fontId="1" fillId="0" borderId="0" xfId="1" applyNumberFormat="1" applyFont="1" applyAlignment="1">
      <alignment vertical="top"/>
    </xf>
    <xf numFmtId="0" fontId="1" fillId="0" borderId="0" xfId="1" applyFont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wrapText="1"/>
    </xf>
    <xf numFmtId="49" fontId="1" fillId="0" borderId="0" xfId="1" applyNumberFormat="1" applyFont="1" applyBorder="1" applyAlignment="1">
      <alignment horizontal="right" vertical="top"/>
    </xf>
    <xf numFmtId="49" fontId="1" fillId="0" borderId="3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center" wrapText="1"/>
    </xf>
    <xf numFmtId="0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49" fontId="3" fillId="0" borderId="3" xfId="1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1" xfId="0" applyFont="1" applyBorder="1"/>
    <xf numFmtId="0" fontId="13" fillId="0" borderId="3" xfId="0" applyFont="1" applyBorder="1"/>
    <xf numFmtId="16" fontId="13" fillId="0" borderId="3" xfId="0" applyNumberFormat="1" applyFont="1" applyBorder="1"/>
    <xf numFmtId="49" fontId="3" fillId="0" borderId="3" xfId="1" applyNumberFormat="1" applyFont="1" applyBorder="1" applyAlignment="1">
      <alignment horizontal="center" vertical="top"/>
    </xf>
    <xf numFmtId="14" fontId="13" fillId="0" borderId="12" xfId="0" applyNumberFormat="1" applyFont="1" applyBorder="1"/>
    <xf numFmtId="14" fontId="13" fillId="0" borderId="12" xfId="0" applyNumberFormat="1" applyFont="1" applyBorder="1" applyAlignment="1">
      <alignment horizontal="center"/>
    </xf>
    <xf numFmtId="0" fontId="15" fillId="0" borderId="0" xfId="0" applyFont="1" applyAlignment="1"/>
    <xf numFmtId="0" fontId="13" fillId="0" borderId="6" xfId="0" applyFont="1" applyBorder="1"/>
    <xf numFmtId="0" fontId="13" fillId="0" borderId="10" xfId="0" applyFont="1" applyBorder="1"/>
    <xf numFmtId="0" fontId="13" fillId="0" borderId="15" xfId="0" applyFont="1" applyBorder="1"/>
    <xf numFmtId="0" fontId="13" fillId="0" borderId="2" xfId="0" applyFont="1" applyBorder="1"/>
    <xf numFmtId="0" fontId="13" fillId="0" borderId="12" xfId="0" applyFont="1" applyBorder="1"/>
    <xf numFmtId="0" fontId="13" fillId="0" borderId="13" xfId="0" applyFont="1" applyBorder="1"/>
    <xf numFmtId="2" fontId="13" fillId="0" borderId="0" xfId="0" applyNumberFormat="1" applyFont="1"/>
    <xf numFmtId="2" fontId="15" fillId="0" borderId="11" xfId="0" applyNumberFormat="1" applyFont="1" applyBorder="1"/>
    <xf numFmtId="2" fontId="15" fillId="0" borderId="12" xfId="0" applyNumberFormat="1" applyFont="1" applyBorder="1"/>
    <xf numFmtId="2" fontId="15" fillId="0" borderId="14" xfId="0" applyNumberFormat="1" applyFont="1" applyBorder="1"/>
    <xf numFmtId="0" fontId="15" fillId="0" borderId="3" xfId="0" applyFont="1" applyBorder="1"/>
    <xf numFmtId="2" fontId="15" fillId="0" borderId="3" xfId="0" applyNumberFormat="1" applyFont="1" applyBorder="1"/>
    <xf numFmtId="0" fontId="13" fillId="0" borderId="8" xfId="0" applyFont="1" applyBorder="1"/>
    <xf numFmtId="0" fontId="13" fillId="0" borderId="9" xfId="0" applyFont="1" applyBorder="1"/>
    <xf numFmtId="2" fontId="13" fillId="0" borderId="10" xfId="0" applyNumberFormat="1" applyFont="1" applyBorder="1"/>
    <xf numFmtId="1" fontId="13" fillId="0" borderId="0" xfId="0" applyNumberFormat="1" applyFont="1"/>
    <xf numFmtId="2" fontId="13" fillId="0" borderId="4" xfId="0" applyNumberFormat="1" applyFont="1" applyBorder="1"/>
    <xf numFmtId="0" fontId="13" fillId="0" borderId="1" xfId="0" applyFont="1" applyBorder="1"/>
    <xf numFmtId="2" fontId="13" fillId="0" borderId="14" xfId="0" applyNumberFormat="1" applyFont="1" applyBorder="1"/>
    <xf numFmtId="3" fontId="13" fillId="0" borderId="0" xfId="0" applyNumberFormat="1" applyFont="1" applyBorder="1"/>
    <xf numFmtId="0" fontId="13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4" fontId="15" fillId="0" borderId="2" xfId="0" applyNumberFormat="1" applyFont="1" applyBorder="1"/>
    <xf numFmtId="4" fontId="15" fillId="0" borderId="0" xfId="0" applyNumberFormat="1" applyFont="1" applyBorder="1"/>
    <xf numFmtId="4" fontId="15" fillId="0" borderId="11" xfId="0" applyNumberFormat="1" applyFont="1" applyBorder="1"/>
    <xf numFmtId="4" fontId="15" fillId="0" borderId="4" xfId="0" applyNumberFormat="1" applyFont="1" applyBorder="1"/>
    <xf numFmtId="4" fontId="15" fillId="0" borderId="3" xfId="0" applyNumberFormat="1" applyFont="1" applyBorder="1"/>
    <xf numFmtId="0" fontId="2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2" fontId="7" fillId="0" borderId="0" xfId="0" applyNumberFormat="1" applyFont="1" applyBorder="1"/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164" fontId="2" fillId="0" borderId="3" xfId="0" applyNumberFormat="1" applyFont="1" applyFill="1" applyBorder="1" applyAlignment="1">
      <alignment horizontal="right" wrapText="1"/>
    </xf>
    <xf numFmtId="0" fontId="9" fillId="0" borderId="0" xfId="0" applyFont="1"/>
    <xf numFmtId="49" fontId="9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center" vertical="top"/>
    </xf>
    <xf numFmtId="49" fontId="2" fillId="0" borderId="3" xfId="2" applyNumberFormat="1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0" fontId="17" fillId="0" borderId="0" xfId="0" applyFont="1"/>
    <xf numFmtId="0" fontId="2" fillId="0" borderId="3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/>
    </xf>
    <xf numFmtId="49" fontId="1" fillId="0" borderId="6" xfId="1" applyNumberFormat="1" applyFont="1" applyBorder="1" applyAlignment="1">
      <alignment horizontal="center" vertical="top"/>
    </xf>
    <xf numFmtId="49" fontId="1" fillId="0" borderId="7" xfId="1" applyNumberFormat="1" applyFont="1" applyBorder="1" applyAlignment="1">
      <alignment horizontal="center" vertical="top"/>
    </xf>
    <xf numFmtId="0" fontId="1" fillId="0" borderId="0" xfId="1" applyFont="1" applyAlignment="1">
      <alignment horizontal="right" vertical="top"/>
    </xf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right" vertical="top"/>
    </xf>
    <xf numFmtId="0" fontId="1" fillId="0" borderId="0" xfId="1" applyFont="1" applyBorder="1" applyAlignment="1">
      <alignment horizontal="right" vertical="top"/>
    </xf>
    <xf numFmtId="49" fontId="1" fillId="0" borderId="5" xfId="1" applyNumberFormat="1" applyFont="1" applyBorder="1" applyAlignment="1">
      <alignment horizontal="center" vertical="top"/>
    </xf>
    <xf numFmtId="49" fontId="1" fillId="0" borderId="6" xfId="1" applyNumberFormat="1" applyFont="1" applyBorder="1" applyAlignment="1">
      <alignment horizontal="center" vertical="top"/>
    </xf>
    <xf numFmtId="49" fontId="1" fillId="0" borderId="7" xfId="1" applyNumberFormat="1" applyFont="1" applyBorder="1" applyAlignment="1">
      <alignment horizontal="center" vertical="top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right" vertical="top"/>
    </xf>
    <xf numFmtId="49" fontId="1" fillId="0" borderId="0" xfId="1" applyNumberFormat="1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0" xfId="2" applyFont="1"/>
    <xf numFmtId="49" fontId="3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49" fontId="2" fillId="0" borderId="3" xfId="2" applyNumberFormat="1" applyFont="1" applyBorder="1" applyAlignment="1">
      <alignment horizontal="center" vertical="top" wrapText="1"/>
    </xf>
    <xf numFmtId="0" fontId="2" fillId="0" borderId="3" xfId="2" applyFont="1" applyBorder="1" applyAlignment="1">
      <alignment wrapText="1"/>
    </xf>
    <xf numFmtId="0" fontId="2" fillId="0" borderId="0" xfId="2" applyFont="1" applyAlignment="1">
      <alignment wrapText="1"/>
    </xf>
    <xf numFmtId="49" fontId="3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/>
    <xf numFmtId="0" fontId="3" fillId="0" borderId="3" xfId="2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2" fillId="0" borderId="3" xfId="0" applyNumberFormat="1" applyFont="1" applyBorder="1" applyAlignment="1">
      <alignment horizontal="right" wrapText="1"/>
    </xf>
    <xf numFmtId="2" fontId="1" fillId="0" borderId="0" xfId="2" applyNumberFormat="1" applyFont="1"/>
    <xf numFmtId="2" fontId="1" fillId="0" borderId="0" xfId="0" applyNumberFormat="1" applyFont="1"/>
    <xf numFmtId="2" fontId="9" fillId="0" borderId="0" xfId="0" applyNumberFormat="1" applyFont="1"/>
    <xf numFmtId="0" fontId="2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49" fontId="2" fillId="0" borderId="3" xfId="2" applyNumberFormat="1" applyFont="1" applyFill="1" applyBorder="1" applyAlignment="1">
      <alignment horizontal="center" vertical="top"/>
    </xf>
    <xf numFmtId="0" fontId="2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 wrapText="1"/>
    </xf>
    <xf numFmtId="0" fontId="2" fillId="0" borderId="5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right" wrapText="1"/>
    </xf>
    <xf numFmtId="0" fontId="1" fillId="0" borderId="0" xfId="2" applyFont="1" applyFill="1"/>
    <xf numFmtId="49" fontId="2" fillId="0" borderId="3" xfId="2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/>
    </xf>
    <xf numFmtId="49" fontId="2" fillId="0" borderId="6" xfId="2" applyNumberFormat="1" applyFont="1" applyFill="1" applyBorder="1" applyAlignment="1">
      <alignment vertical="top" wrapText="1"/>
    </xf>
    <xf numFmtId="49" fontId="2" fillId="0" borderId="7" xfId="2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wrapText="1"/>
    </xf>
    <xf numFmtId="49" fontId="2" fillId="0" borderId="3" xfId="2" applyNumberFormat="1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wrapText="1"/>
    </xf>
    <xf numFmtId="0" fontId="2" fillId="0" borderId="3" xfId="2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1" fillId="0" borderId="3" xfId="0" applyFont="1" applyFill="1" applyBorder="1" applyAlignment="1">
      <alignment vertical="top"/>
    </xf>
    <xf numFmtId="0" fontId="21" fillId="0" borderId="3" xfId="0" applyFont="1" applyFill="1" applyBorder="1" applyAlignment="1">
      <alignment horizontal="center" vertical="top"/>
    </xf>
    <xf numFmtId="2" fontId="21" fillId="0" borderId="3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24" fillId="0" borderId="3" xfId="3" applyNumberFormat="1" applyFont="1" applyFill="1" applyBorder="1" applyAlignment="1">
      <alignment horizontal="left" vertical="top" wrapText="1"/>
    </xf>
    <xf numFmtId="0" fontId="24" fillId="0" borderId="3" xfId="3" applyNumberFormat="1" applyFont="1" applyFill="1" applyBorder="1" applyAlignment="1">
      <alignment horizontal="center" vertical="top" wrapText="1"/>
    </xf>
    <xf numFmtId="4" fontId="24" fillId="0" borderId="3" xfId="3" applyNumberFormat="1" applyFont="1" applyFill="1" applyBorder="1" applyAlignment="1">
      <alignment horizontal="right" vertical="top" wrapText="1"/>
    </xf>
    <xf numFmtId="2" fontId="24" fillId="0" borderId="3" xfId="0" applyNumberFormat="1" applyFont="1" applyFill="1" applyBorder="1" applyAlignment="1">
      <alignment horizontal="right"/>
    </xf>
    <xf numFmtId="0" fontId="0" fillId="0" borderId="0" xfId="0" applyFill="1"/>
    <xf numFmtId="2" fontId="24" fillId="0" borderId="3" xfId="3" applyNumberFormat="1" applyFont="1" applyFill="1" applyBorder="1" applyAlignment="1">
      <alignment horizontal="right" vertical="top" wrapText="1"/>
    </xf>
    <xf numFmtId="2" fontId="24" fillId="0" borderId="3" xfId="3" applyNumberFormat="1" applyFont="1" applyFill="1" applyBorder="1" applyAlignment="1">
      <alignment horizontal="right" vertical="top"/>
    </xf>
    <xf numFmtId="0" fontId="24" fillId="0" borderId="3" xfId="3" applyNumberFormat="1" applyFont="1" applyFill="1" applyBorder="1" applyAlignment="1">
      <alignment horizontal="right" vertical="top" wrapText="1"/>
    </xf>
    <xf numFmtId="0" fontId="2" fillId="0" borderId="3" xfId="2" applyFont="1" applyFill="1" applyBorder="1" applyAlignment="1">
      <alignment horizontal="center"/>
    </xf>
    <xf numFmtId="49" fontId="20" fillId="0" borderId="3" xfId="2" applyNumberFormat="1" applyFont="1" applyFill="1" applyBorder="1" applyAlignment="1">
      <alignment horizontal="center" vertical="top" wrapText="1"/>
    </xf>
    <xf numFmtId="0" fontId="2" fillId="0" borderId="5" xfId="2" applyFont="1" applyFill="1" applyBorder="1" applyAlignment="1">
      <alignment horizontal="center" vertical="top"/>
    </xf>
    <xf numFmtId="0" fontId="2" fillId="0" borderId="3" xfId="2" applyFont="1" applyFill="1" applyBorder="1" applyAlignment="1">
      <alignment horizontal="right" vertical="top" wrapText="1"/>
    </xf>
    <xf numFmtId="0" fontId="20" fillId="0" borderId="3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8" fillId="0" borderId="3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1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wrapText="1"/>
    </xf>
    <xf numFmtId="164" fontId="21" fillId="0" borderId="3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21" fillId="0" borderId="16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wrapText="1"/>
    </xf>
    <xf numFmtId="2" fontId="21" fillId="0" borderId="17" xfId="0" applyNumberFormat="1" applyFont="1" applyFill="1" applyBorder="1" applyAlignment="1">
      <alignment horizontal="center" wrapText="1"/>
    </xf>
    <xf numFmtId="4" fontId="21" fillId="0" borderId="17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 wrapText="1"/>
    </xf>
    <xf numFmtId="0" fontId="2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wrapText="1"/>
    </xf>
    <xf numFmtId="2" fontId="21" fillId="0" borderId="3" xfId="0" applyNumberFormat="1" applyFont="1" applyFill="1" applyBorder="1" applyAlignment="1">
      <alignment horizontal="center" wrapText="1"/>
    </xf>
    <xf numFmtId="2" fontId="21" fillId="0" borderId="3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49" fontId="2" fillId="0" borderId="3" xfId="2" applyNumberFormat="1" applyFont="1" applyFill="1" applyBorder="1" applyAlignment="1">
      <alignment horizontal="left" vertical="top"/>
    </xf>
    <xf numFmtId="49" fontId="2" fillId="0" borderId="5" xfId="2" applyNumberFormat="1" applyFont="1" applyFill="1" applyBorder="1" applyAlignment="1">
      <alignment vertical="top" wrapText="1"/>
    </xf>
    <xf numFmtId="49" fontId="2" fillId="0" borderId="3" xfId="2" applyNumberFormat="1" applyFont="1" applyFill="1" applyBorder="1" applyAlignment="1">
      <alignment vertical="top" wrapText="1"/>
    </xf>
    <xf numFmtId="0" fontId="23" fillId="0" borderId="3" xfId="4" applyNumberFormat="1" applyFont="1" applyFill="1" applyBorder="1" applyAlignment="1">
      <alignment horizontal="center" vertical="top" wrapText="1"/>
    </xf>
    <xf numFmtId="0" fontId="24" fillId="0" borderId="3" xfId="4" applyNumberFormat="1" applyFont="1" applyFill="1" applyBorder="1" applyAlignment="1">
      <alignment horizontal="left" vertical="top" wrapText="1"/>
    </xf>
    <xf numFmtId="0" fontId="24" fillId="0" borderId="3" xfId="4" applyNumberFormat="1" applyFont="1" applyFill="1" applyBorder="1" applyAlignment="1">
      <alignment horizontal="center" vertical="top" wrapText="1"/>
    </xf>
    <xf numFmtId="1" fontId="24" fillId="0" borderId="3" xfId="4" applyNumberFormat="1" applyFont="1" applyFill="1" applyBorder="1" applyAlignment="1">
      <alignment horizontal="center" vertical="top" wrapText="1"/>
    </xf>
    <xf numFmtId="2" fontId="24" fillId="0" borderId="3" xfId="4" applyNumberFormat="1" applyFont="1" applyFill="1" applyBorder="1" applyAlignment="1">
      <alignment horizontal="right" vertical="top" wrapText="1"/>
    </xf>
    <xf numFmtId="0" fontId="23" fillId="0" borderId="0" xfId="4" applyFill="1"/>
    <xf numFmtId="4" fontId="24" fillId="0" borderId="3" xfId="4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2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left" vertical="top" wrapText="1"/>
    </xf>
    <xf numFmtId="0" fontId="24" fillId="0" borderId="3" xfId="5" applyNumberFormat="1" applyFont="1" applyFill="1" applyBorder="1" applyAlignment="1">
      <alignment horizontal="center" vertical="top" wrapText="1"/>
    </xf>
    <xf numFmtId="0" fontId="23" fillId="0" borderId="3" xfId="5" applyNumberFormat="1" applyFont="1" applyFill="1" applyBorder="1" applyAlignment="1">
      <alignment horizontal="left" vertical="top" wrapText="1"/>
    </xf>
    <xf numFmtId="4" fontId="24" fillId="0" borderId="3" xfId="5" applyNumberFormat="1" applyFont="1" applyFill="1" applyBorder="1" applyAlignment="1">
      <alignment horizontal="right" vertical="top" wrapText="1"/>
    </xf>
    <xf numFmtId="0" fontId="24" fillId="0" borderId="0" xfId="5" applyFont="1" applyFill="1"/>
    <xf numFmtId="0" fontId="17" fillId="0" borderId="0" xfId="0" applyFont="1" applyFill="1"/>
    <xf numFmtId="0" fontId="23" fillId="0" borderId="3" xfId="6" applyNumberFormat="1" applyFont="1" applyFill="1" applyBorder="1" applyAlignment="1">
      <alignment horizontal="center" vertical="top" wrapText="1"/>
    </xf>
    <xf numFmtId="0" fontId="23" fillId="0" borderId="3" xfId="6" applyNumberFormat="1" applyFont="1" applyFill="1" applyBorder="1" applyAlignment="1">
      <alignment horizontal="left" vertical="top" wrapText="1"/>
    </xf>
    <xf numFmtId="164" fontId="24" fillId="0" borderId="3" xfId="6" applyNumberFormat="1" applyFont="1" applyFill="1" applyBorder="1" applyAlignment="1">
      <alignment horizontal="right" vertical="top" wrapText="1"/>
    </xf>
    <xf numFmtId="2" fontId="24" fillId="0" borderId="3" xfId="6" applyNumberFormat="1" applyFont="1" applyFill="1" applyBorder="1" applyAlignment="1">
      <alignment horizontal="right" vertical="top" wrapText="1"/>
    </xf>
    <xf numFmtId="0" fontId="23" fillId="0" borderId="0" xfId="6" applyFill="1"/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wrapText="1"/>
    </xf>
    <xf numFmtId="0" fontId="23" fillId="0" borderId="3" xfId="7" applyNumberFormat="1" applyFont="1" applyFill="1" applyBorder="1" applyAlignment="1">
      <alignment horizontal="center" vertical="top" wrapText="1"/>
    </xf>
    <xf numFmtId="0" fontId="23" fillId="0" borderId="3" xfId="7" applyNumberFormat="1" applyFont="1" applyFill="1" applyBorder="1" applyAlignment="1">
      <alignment horizontal="left" vertical="top" wrapText="1"/>
    </xf>
    <xf numFmtId="164" fontId="24" fillId="0" borderId="3" xfId="7" applyNumberFormat="1" applyFont="1" applyFill="1" applyBorder="1" applyAlignment="1">
      <alignment horizontal="center" vertical="top" wrapText="1"/>
    </xf>
    <xf numFmtId="2" fontId="24" fillId="0" borderId="3" xfId="7" applyNumberFormat="1" applyFont="1" applyFill="1" applyBorder="1" applyAlignment="1">
      <alignment horizontal="right" vertical="top" wrapText="1"/>
    </xf>
    <xf numFmtId="0" fontId="23" fillId="0" borderId="0" xfId="7" applyFill="1"/>
    <xf numFmtId="0" fontId="24" fillId="0" borderId="3" xfId="8" applyNumberFormat="1" applyFont="1" applyFill="1" applyBorder="1" applyAlignment="1">
      <alignment horizontal="center" vertical="top" wrapText="1"/>
    </xf>
    <xf numFmtId="0" fontId="24" fillId="0" borderId="3" xfId="8" applyNumberFormat="1" applyFont="1" applyFill="1" applyBorder="1" applyAlignment="1">
      <alignment horizontal="left" vertical="top" wrapText="1"/>
    </xf>
    <xf numFmtId="0" fontId="23" fillId="0" borderId="3" xfId="8" applyNumberFormat="1" applyFont="1" applyFill="1" applyBorder="1" applyAlignment="1">
      <alignment horizontal="left" vertical="top" wrapText="1"/>
    </xf>
    <xf numFmtId="164" fontId="24" fillId="0" borderId="3" xfId="8" applyNumberFormat="1" applyFont="1" applyFill="1" applyBorder="1" applyAlignment="1">
      <alignment horizontal="right" vertical="top" wrapText="1"/>
    </xf>
    <xf numFmtId="2" fontId="24" fillId="0" borderId="3" xfId="8" applyNumberFormat="1" applyFont="1" applyFill="1" applyBorder="1" applyAlignment="1">
      <alignment horizontal="right" vertical="top" wrapText="1"/>
    </xf>
    <xf numFmtId="0" fontId="24" fillId="0" borderId="0" xfId="8" applyFont="1" applyFill="1"/>
    <xf numFmtId="4" fontId="24" fillId="0" borderId="3" xfId="8" applyNumberFormat="1" applyFont="1" applyFill="1" applyBorder="1" applyAlignment="1">
      <alignment horizontal="right" vertical="top" wrapText="1"/>
    </xf>
    <xf numFmtId="0" fontId="24" fillId="0" borderId="3" xfId="9" applyNumberFormat="1" applyFont="1" applyFill="1" applyBorder="1" applyAlignment="1">
      <alignment horizontal="center" vertical="top" wrapText="1"/>
    </xf>
    <xf numFmtId="0" fontId="24" fillId="0" borderId="3" xfId="9" applyNumberFormat="1" applyFont="1" applyFill="1" applyBorder="1" applyAlignment="1">
      <alignment horizontal="left" vertical="top" wrapText="1"/>
    </xf>
    <xf numFmtId="0" fontId="23" fillId="0" borderId="3" xfId="9" applyNumberFormat="1" applyFont="1" applyFill="1" applyBorder="1" applyAlignment="1">
      <alignment horizontal="left" vertical="top" wrapText="1"/>
    </xf>
    <xf numFmtId="164" fontId="24" fillId="0" borderId="3" xfId="9" applyNumberFormat="1" applyFont="1" applyFill="1" applyBorder="1" applyAlignment="1">
      <alignment horizontal="right" vertical="top" wrapText="1"/>
    </xf>
    <xf numFmtId="4" fontId="24" fillId="0" borderId="3" xfId="9" applyNumberFormat="1" applyFont="1" applyFill="1" applyBorder="1" applyAlignment="1">
      <alignment horizontal="right" vertical="top" wrapText="1"/>
    </xf>
    <xf numFmtId="0" fontId="24" fillId="0" borderId="0" xfId="9" applyFont="1" applyFill="1"/>
    <xf numFmtId="2" fontId="24" fillId="0" borderId="3" xfId="9" applyNumberFormat="1" applyFont="1" applyFill="1" applyBorder="1" applyAlignment="1">
      <alignment horizontal="right" vertical="top" wrapText="1"/>
    </xf>
    <xf numFmtId="0" fontId="24" fillId="0" borderId="3" xfId="10" applyNumberFormat="1" applyFont="1" applyFill="1" applyBorder="1" applyAlignment="1">
      <alignment horizontal="center" vertical="top" wrapText="1"/>
    </xf>
    <xf numFmtId="0" fontId="23" fillId="0" borderId="3" xfId="10" applyNumberFormat="1" applyFont="1" applyFill="1" applyBorder="1" applyAlignment="1">
      <alignment horizontal="left" vertical="top" wrapText="1"/>
    </xf>
    <xf numFmtId="164" fontId="24" fillId="0" borderId="3" xfId="10" applyNumberFormat="1" applyFont="1" applyFill="1" applyBorder="1" applyAlignment="1">
      <alignment horizontal="right" wrapText="1"/>
    </xf>
    <xf numFmtId="2" fontId="24" fillId="0" borderId="3" xfId="10" applyNumberFormat="1" applyFont="1" applyFill="1" applyBorder="1" applyAlignment="1">
      <alignment horizontal="right" wrapText="1"/>
    </xf>
    <xf numFmtId="0" fontId="24" fillId="0" borderId="0" xfId="10" applyFont="1" applyFill="1"/>
    <xf numFmtId="0" fontId="24" fillId="0" borderId="3" xfId="11" applyNumberFormat="1" applyFont="1" applyFill="1" applyBorder="1" applyAlignment="1">
      <alignment horizontal="center" vertical="top" wrapText="1"/>
    </xf>
    <xf numFmtId="0" fontId="23" fillId="0" borderId="3" xfId="11" applyNumberFormat="1" applyFont="1" applyFill="1" applyBorder="1" applyAlignment="1">
      <alignment horizontal="left" vertical="top" wrapText="1"/>
    </xf>
    <xf numFmtId="164" fontId="24" fillId="0" borderId="3" xfId="11" applyNumberFormat="1" applyFont="1" applyFill="1" applyBorder="1" applyAlignment="1">
      <alignment horizontal="right" wrapText="1"/>
    </xf>
    <xf numFmtId="2" fontId="24" fillId="0" borderId="3" xfId="11" applyNumberFormat="1" applyFont="1" applyFill="1" applyBorder="1" applyAlignment="1">
      <alignment horizontal="right" wrapText="1"/>
    </xf>
    <xf numFmtId="0" fontId="24" fillId="0" borderId="0" xfId="11" applyFont="1" applyFill="1"/>
    <xf numFmtId="4" fontId="24" fillId="0" borderId="3" xfId="11" applyNumberFormat="1" applyFont="1" applyFill="1" applyBorder="1" applyAlignment="1">
      <alignment horizontal="right" wrapText="1"/>
    </xf>
    <xf numFmtId="0" fontId="23" fillId="0" borderId="3" xfId="12" applyNumberFormat="1" applyFont="1" applyFill="1" applyBorder="1" applyAlignment="1">
      <alignment horizontal="center" vertical="top" wrapText="1"/>
    </xf>
    <xf numFmtId="0" fontId="23" fillId="0" borderId="3" xfId="12" applyNumberFormat="1" applyFont="1" applyFill="1" applyBorder="1" applyAlignment="1">
      <alignment horizontal="left" vertical="top" wrapText="1"/>
    </xf>
    <xf numFmtId="164" fontId="24" fillId="0" borderId="3" xfId="12" applyNumberFormat="1" applyFont="1" applyFill="1" applyBorder="1" applyAlignment="1">
      <alignment horizontal="right" vertical="top" wrapText="1"/>
    </xf>
    <xf numFmtId="2" fontId="24" fillId="0" borderId="3" xfId="12" applyNumberFormat="1" applyFont="1" applyFill="1" applyBorder="1" applyAlignment="1">
      <alignment horizontal="right" vertical="top" wrapText="1"/>
    </xf>
    <xf numFmtId="0" fontId="23" fillId="0" borderId="0" xfId="12" applyFill="1"/>
    <xf numFmtId="4" fontId="24" fillId="0" borderId="3" xfId="12" applyNumberFormat="1" applyFont="1" applyFill="1" applyBorder="1" applyAlignment="1">
      <alignment horizontal="right" vertical="top" wrapText="1"/>
    </xf>
    <xf numFmtId="0" fontId="25" fillId="0" borderId="3" xfId="11" applyNumberFormat="1" applyFont="1" applyFill="1" applyBorder="1" applyAlignment="1">
      <alignment horizontal="center" vertical="top" wrapText="1"/>
    </xf>
    <xf numFmtId="0" fontId="25" fillId="0" borderId="3" xfId="11" applyNumberFormat="1" applyFont="1" applyFill="1" applyBorder="1" applyAlignment="1">
      <alignment horizontal="left" vertical="top" wrapText="1"/>
    </xf>
    <xf numFmtId="164" fontId="25" fillId="0" borderId="3" xfId="11" applyNumberFormat="1" applyFont="1" applyFill="1" applyBorder="1" applyAlignment="1">
      <alignment horizontal="right" wrapText="1"/>
    </xf>
    <xf numFmtId="2" fontId="25" fillId="0" borderId="3" xfId="11" applyNumberFormat="1" applyFont="1" applyFill="1" applyBorder="1" applyAlignment="1">
      <alignment horizontal="right" wrapText="1"/>
    </xf>
    <xf numFmtId="2" fontId="20" fillId="0" borderId="3" xfId="0" applyNumberFormat="1" applyFont="1" applyFill="1" applyBorder="1" applyAlignment="1">
      <alignment horizontal="right"/>
    </xf>
    <xf numFmtId="0" fontId="25" fillId="0" borderId="0" xfId="11" applyFont="1" applyFill="1"/>
    <xf numFmtId="0" fontId="26" fillId="0" borderId="0" xfId="0" applyFont="1" applyFill="1"/>
    <xf numFmtId="49" fontId="20" fillId="0" borderId="5" xfId="2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wrapText="1"/>
    </xf>
    <xf numFmtId="0" fontId="2" fillId="0" borderId="3" xfId="2" applyFont="1" applyFill="1" applyBorder="1" applyAlignment="1"/>
    <xf numFmtId="0" fontId="24" fillId="0" borderId="3" xfId="5" applyNumberFormat="1" applyFont="1" applyFill="1" applyBorder="1" applyAlignment="1">
      <alignment horizontal="left" vertical="top" wrapText="1"/>
    </xf>
    <xf numFmtId="0" fontId="23" fillId="0" borderId="3" xfId="13" applyNumberFormat="1" applyFont="1" applyFill="1" applyBorder="1" applyAlignment="1">
      <alignment horizontal="center" vertical="top" wrapText="1"/>
    </xf>
    <xf numFmtId="0" fontId="23" fillId="0" borderId="3" xfId="13" applyNumberFormat="1" applyFont="1" applyFill="1" applyBorder="1" applyAlignment="1">
      <alignment horizontal="left" vertical="top" wrapText="1"/>
    </xf>
    <xf numFmtId="164" fontId="23" fillId="0" borderId="3" xfId="13" applyNumberFormat="1" applyFont="1" applyFill="1" applyBorder="1" applyAlignment="1">
      <alignment horizontal="right" vertical="top" wrapText="1"/>
    </xf>
    <xf numFmtId="2" fontId="23" fillId="0" borderId="3" xfId="13" applyNumberFormat="1" applyFont="1" applyFill="1" applyBorder="1" applyAlignment="1">
      <alignment horizontal="right" vertical="top" wrapText="1"/>
    </xf>
    <xf numFmtId="0" fontId="23" fillId="0" borderId="0" xfId="13" applyFill="1"/>
    <xf numFmtId="4" fontId="23" fillId="0" borderId="3" xfId="13" applyNumberFormat="1" applyFont="1" applyFill="1" applyBorder="1" applyAlignment="1">
      <alignment horizontal="right" vertical="top" wrapText="1"/>
    </xf>
    <xf numFmtId="0" fontId="23" fillId="0" borderId="3" xfId="14" applyNumberFormat="1" applyFont="1" applyFill="1" applyBorder="1" applyAlignment="1">
      <alignment horizontal="center" vertical="top" wrapText="1"/>
    </xf>
    <xf numFmtId="0" fontId="23" fillId="0" borderId="3" xfId="14" applyNumberFormat="1" applyFont="1" applyFill="1" applyBorder="1" applyAlignment="1">
      <alignment horizontal="left" vertical="top" wrapText="1"/>
    </xf>
    <xf numFmtId="164" fontId="23" fillId="0" borderId="3" xfId="14" applyNumberFormat="1" applyFont="1" applyFill="1" applyBorder="1" applyAlignment="1">
      <alignment horizontal="right" vertical="top" wrapText="1"/>
    </xf>
    <xf numFmtId="2" fontId="23" fillId="0" borderId="3" xfId="14" applyNumberFormat="1" applyFont="1" applyFill="1" applyBorder="1" applyAlignment="1">
      <alignment horizontal="right" vertical="top" wrapText="1"/>
    </xf>
    <xf numFmtId="0" fontId="23" fillId="0" borderId="0" xfId="14" applyFill="1"/>
    <xf numFmtId="4" fontId="23" fillId="0" borderId="3" xfId="14" applyNumberFormat="1" applyFont="1" applyFill="1" applyBorder="1" applyAlignment="1">
      <alignment horizontal="right" vertical="top" wrapText="1"/>
    </xf>
    <xf numFmtId="0" fontId="23" fillId="0" borderId="3" xfId="15" applyNumberFormat="1" applyFont="1" applyFill="1" applyBorder="1" applyAlignment="1">
      <alignment horizontal="center" vertical="top" wrapText="1"/>
    </xf>
    <xf numFmtId="0" fontId="23" fillId="0" borderId="3" xfId="15" applyNumberFormat="1" applyFont="1" applyFill="1" applyBorder="1" applyAlignment="1">
      <alignment horizontal="left" vertical="top" wrapText="1"/>
    </xf>
    <xf numFmtId="164" fontId="23" fillId="0" borderId="3" xfId="15" applyNumberFormat="1" applyFont="1" applyFill="1" applyBorder="1" applyAlignment="1">
      <alignment horizontal="right" vertical="top" wrapText="1"/>
    </xf>
    <xf numFmtId="2" fontId="23" fillId="0" borderId="3" xfId="15" applyNumberFormat="1" applyFont="1" applyFill="1" applyBorder="1" applyAlignment="1">
      <alignment horizontal="right" vertical="top" wrapText="1"/>
    </xf>
    <xf numFmtId="0" fontId="23" fillId="0" borderId="0" xfId="15" applyFill="1"/>
    <xf numFmtId="4" fontId="23" fillId="0" borderId="3" xfId="15" applyNumberFormat="1" applyFont="1" applyFill="1" applyBorder="1" applyAlignment="1">
      <alignment horizontal="right" vertical="top" wrapText="1"/>
    </xf>
    <xf numFmtId="2" fontId="5" fillId="0" borderId="0" xfId="0" applyNumberFormat="1" applyFont="1"/>
    <xf numFmtId="49" fontId="18" fillId="0" borderId="3" xfId="0" applyNumberFormat="1" applyFont="1" applyBorder="1" applyAlignment="1">
      <alignment horizontal="center" vertical="top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/>
    </xf>
    <xf numFmtId="0" fontId="18" fillId="0" borderId="0" xfId="0" applyFont="1"/>
    <xf numFmtId="0" fontId="18" fillId="0" borderId="3" xfId="0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164" fontId="6" fillId="0" borderId="3" xfId="0" applyNumberFormat="1" applyFont="1" applyBorder="1" applyAlignment="1">
      <alignment horizontal="center" wrapText="1"/>
    </xf>
    <xf numFmtId="0" fontId="6" fillId="0" borderId="3" xfId="2" applyFont="1" applyFill="1" applyBorder="1" applyAlignment="1"/>
    <xf numFmtId="0" fontId="8" fillId="0" borderId="0" xfId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vertical="top" wrapText="1"/>
    </xf>
    <xf numFmtId="0" fontId="2" fillId="0" borderId="5" xfId="2" applyFont="1" applyFill="1" applyBorder="1" applyAlignment="1">
      <alignment horizontal="center" wrapText="1"/>
    </xf>
    <xf numFmtId="0" fontId="7" fillId="0" borderId="3" xfId="2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49" fontId="6" fillId="0" borderId="3" xfId="2" applyNumberFormat="1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right"/>
    </xf>
    <xf numFmtId="0" fontId="6" fillId="0" borderId="0" xfId="2" applyFont="1" applyFill="1" applyAlignment="1">
      <alignment wrapText="1"/>
    </xf>
    <xf numFmtId="0" fontId="7" fillId="0" borderId="0" xfId="2" applyFont="1" applyFill="1"/>
    <xf numFmtId="49" fontId="6" fillId="0" borderId="3" xfId="2" applyNumberFormat="1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center" wrapText="1"/>
    </xf>
    <xf numFmtId="0" fontId="6" fillId="0" borderId="3" xfId="2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1" fillId="0" borderId="3" xfId="2" applyFont="1" applyBorder="1"/>
    <xf numFmtId="0" fontId="2" fillId="0" borderId="3" xfId="0" applyFont="1" applyFill="1" applyBorder="1"/>
    <xf numFmtId="0" fontId="1" fillId="0" borderId="0" xfId="1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0" xfId="1" applyFont="1" applyAlignment="1">
      <alignment horizontal="left" vertical="top" wrapText="1"/>
    </xf>
    <xf numFmtId="0" fontId="8" fillId="0" borderId="0" xfId="1" applyAlignment="1">
      <alignment horizontal="left" vertical="top" wrapText="1"/>
    </xf>
    <xf numFmtId="49" fontId="1" fillId="0" borderId="8" xfId="1" applyNumberFormat="1" applyFont="1" applyBorder="1" applyAlignment="1">
      <alignment horizontal="center" vertical="top"/>
    </xf>
    <xf numFmtId="49" fontId="1" fillId="0" borderId="9" xfId="1" applyNumberFormat="1" applyFont="1" applyBorder="1" applyAlignment="1">
      <alignment horizontal="center" vertical="top"/>
    </xf>
    <xf numFmtId="49" fontId="1" fillId="0" borderId="10" xfId="1" applyNumberFormat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1" fillId="0" borderId="0" xfId="1" applyFont="1" applyBorder="1" applyAlignment="1">
      <alignment horizontal="right" vertical="top"/>
    </xf>
    <xf numFmtId="0" fontId="1" fillId="0" borderId="4" xfId="1" applyFont="1" applyBorder="1" applyAlignment="1">
      <alignment horizontal="right" vertical="top"/>
    </xf>
    <xf numFmtId="49" fontId="1" fillId="0" borderId="5" xfId="1" applyNumberFormat="1" applyFont="1" applyBorder="1" applyAlignment="1">
      <alignment horizontal="center" vertical="top"/>
    </xf>
    <xf numFmtId="49" fontId="1" fillId="0" borderId="6" xfId="1" applyNumberFormat="1" applyFont="1" applyBorder="1" applyAlignment="1">
      <alignment horizontal="center" vertical="top"/>
    </xf>
    <xf numFmtId="49" fontId="1" fillId="0" borderId="7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right" vertical="top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/>
    <xf numFmtId="49" fontId="3" fillId="0" borderId="3" xfId="1" applyNumberFormat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49" fontId="3" fillId="0" borderId="7" xfId="1" applyNumberFormat="1" applyFont="1" applyBorder="1" applyAlignment="1"/>
    <xf numFmtId="49" fontId="1" fillId="0" borderId="0" xfId="1" applyNumberFormat="1" applyFont="1" applyAlignment="1">
      <alignment horizontal="center"/>
    </xf>
    <xf numFmtId="49" fontId="6" fillId="0" borderId="5" xfId="2" applyNumberFormat="1" applyFont="1" applyFill="1" applyBorder="1" applyAlignment="1">
      <alignment horizontal="center" vertical="top" wrapText="1"/>
    </xf>
    <xf numFmtId="49" fontId="6" fillId="0" borderId="6" xfId="2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4" fontId="15" fillId="0" borderId="3" xfId="0" applyNumberFormat="1" applyFont="1" applyBorder="1" applyAlignment="1"/>
    <xf numFmtId="4" fontId="15" fillId="0" borderId="2" xfId="0" applyNumberFormat="1" applyFont="1" applyBorder="1" applyAlignment="1"/>
    <xf numFmtId="4" fontId="15" fillId="0" borderId="12" xfId="0" applyNumberFormat="1" applyFont="1" applyBorder="1" applyAlignment="1"/>
    <xf numFmtId="0" fontId="13" fillId="0" borderId="15" xfId="0" applyFont="1" applyBorder="1" applyAlignment="1"/>
    <xf numFmtId="0" fontId="0" fillId="0" borderId="0" xfId="0" applyAlignment="1"/>
    <xf numFmtId="0" fontId="0" fillId="0" borderId="4" xfId="0" applyBorder="1" applyAlignment="1"/>
    <xf numFmtId="0" fontId="13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/>
    <xf numFmtId="0" fontId="0" fillId="0" borderId="1" xfId="0" applyBorder="1" applyAlignment="1"/>
    <xf numFmtId="0" fontId="0" fillId="0" borderId="14" xfId="0" applyBorder="1" applyAlignment="1"/>
    <xf numFmtId="0" fontId="13" fillId="0" borderId="2" xfId="0" applyFont="1" applyBorder="1" applyAlignment="1"/>
    <xf numFmtId="0" fontId="0" fillId="0" borderId="11" xfId="0" applyBorder="1" applyAlignment="1"/>
    <xf numFmtId="0" fontId="1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5" fillId="0" borderId="4" xfId="0" applyFont="1" applyBorder="1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5" xfId="2" applyNumberFormat="1" applyFont="1" applyFill="1" applyBorder="1" applyAlignment="1">
      <alignment horizontal="center" vertical="top" wrapText="1"/>
    </xf>
    <xf numFmtId="49" fontId="2" fillId="0" borderId="6" xfId="2" applyNumberFormat="1" applyFont="1" applyFill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left"/>
    </xf>
    <xf numFmtId="0" fontId="32" fillId="0" borderId="3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right"/>
    </xf>
    <xf numFmtId="2" fontId="32" fillId="0" borderId="3" xfId="0" applyNumberFormat="1" applyFont="1" applyBorder="1" applyAlignment="1">
      <alignment horizontal="left"/>
    </xf>
    <xf numFmtId="0" fontId="33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32" fillId="0" borderId="3" xfId="2" applyFont="1" applyBorder="1" applyAlignment="1">
      <alignment horizontal="left" vertical="top" wrapText="1"/>
    </xf>
    <xf numFmtId="0" fontId="32" fillId="0" borderId="3" xfId="2" applyFont="1" applyBorder="1" applyAlignment="1">
      <alignment horizontal="right" wrapText="1"/>
    </xf>
    <xf numFmtId="0" fontId="32" fillId="0" borderId="3" xfId="2" applyFont="1" applyFill="1" applyBorder="1" applyAlignment="1">
      <alignment horizontal="left" vertical="top" wrapText="1"/>
    </xf>
    <xf numFmtId="0" fontId="32" fillId="0" borderId="3" xfId="2" applyFont="1" applyFill="1" applyBorder="1" applyAlignment="1">
      <alignment horizontal="right" wrapText="1"/>
    </xf>
    <xf numFmtId="2" fontId="32" fillId="0" borderId="3" xfId="0" applyNumberFormat="1" applyFont="1" applyFill="1" applyBorder="1" applyAlignment="1">
      <alignment horizontal="left"/>
    </xf>
    <xf numFmtId="0" fontId="32" fillId="0" borderId="3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right"/>
    </xf>
    <xf numFmtId="0" fontId="32" fillId="0" borderId="3" xfId="0" applyFont="1" applyBorder="1" applyAlignment="1">
      <alignment horizontal="right" wrapText="1"/>
    </xf>
    <xf numFmtId="0" fontId="32" fillId="0" borderId="3" xfId="2" applyFont="1" applyFill="1" applyBorder="1" applyAlignment="1">
      <alignment horizontal="right" vertical="top" wrapText="1"/>
    </xf>
    <xf numFmtId="49" fontId="32" fillId="0" borderId="3" xfId="2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vertical="top" wrapText="1"/>
    </xf>
    <xf numFmtId="0" fontId="32" fillId="0" borderId="3" xfId="2" applyFont="1" applyFill="1" applyBorder="1" applyAlignment="1">
      <alignment horizontal="left"/>
    </xf>
    <xf numFmtId="0" fontId="32" fillId="0" borderId="3" xfId="0" applyFont="1" applyBorder="1" applyAlignment="1">
      <alignment horizontal="left"/>
    </xf>
    <xf numFmtId="1" fontId="32" fillId="0" borderId="3" xfId="0" applyNumberFormat="1" applyFont="1" applyBorder="1" applyAlignment="1">
      <alignment horizontal="right" wrapText="1"/>
    </xf>
    <xf numFmtId="0" fontId="32" fillId="0" borderId="3" xfId="0" applyFont="1" applyFill="1" applyBorder="1" applyAlignment="1">
      <alignment horizontal="right" wrapText="1"/>
    </xf>
    <xf numFmtId="0" fontId="32" fillId="0" borderId="3" xfId="2" applyFont="1" applyBorder="1" applyAlignment="1">
      <alignment wrapText="1"/>
    </xf>
    <xf numFmtId="0" fontId="32" fillId="0" borderId="3" xfId="2" applyFont="1" applyFill="1" applyBorder="1" applyAlignment="1">
      <alignment wrapText="1"/>
    </xf>
    <xf numFmtId="49" fontId="32" fillId="0" borderId="5" xfId="2" applyNumberFormat="1" applyFont="1" applyFill="1" applyBorder="1" applyAlignment="1">
      <alignment horizontal="left" vertical="top" wrapText="1"/>
    </xf>
    <xf numFmtId="0" fontId="32" fillId="0" borderId="3" xfId="2" applyFont="1" applyFill="1" applyBorder="1" applyAlignment="1"/>
    <xf numFmtId="0" fontId="32" fillId="0" borderId="3" xfId="0" applyFont="1" applyFill="1" applyBorder="1" applyAlignment="1">
      <alignment wrapText="1"/>
    </xf>
    <xf numFmtId="0" fontId="32" fillId="0" borderId="3" xfId="0" applyFont="1" applyBorder="1" applyAlignment="1">
      <alignment wrapText="1"/>
    </xf>
  </cellXfs>
  <cellStyles count="16">
    <cellStyle name="Обычный" xfId="0" builtinId="0"/>
    <cellStyle name="Обычный 2" xfId="2"/>
    <cellStyle name="Обычный 4" xfId="1"/>
    <cellStyle name="Обычный_Лист18" xfId="6"/>
    <cellStyle name="Обычный_Лист2" xfId="3"/>
    <cellStyle name="Обычный_Лист22" xfId="5"/>
    <cellStyle name="Обычный_Лист23" xfId="12"/>
    <cellStyle name="Обычный_Лист24" xfId="8"/>
    <cellStyle name="Обычный_Лист25" xfId="9"/>
    <cellStyle name="Обычный_Лист27" xfId="7"/>
    <cellStyle name="Обычный_Лист28" xfId="13"/>
    <cellStyle name="Обычный_Лист3" xfId="4"/>
    <cellStyle name="Обычный_Лист30" xfId="14"/>
    <cellStyle name="Обычный_Лист31" xfId="15"/>
    <cellStyle name="Обычный_Лист5" xfId="10"/>
    <cellStyle name="Обычный_Лист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topLeftCell="A25" workbookViewId="0">
      <selection activeCell="C29" sqref="C29"/>
    </sheetView>
  </sheetViews>
  <sheetFormatPr defaultColWidth="9.140625" defaultRowHeight="12.75"/>
  <cols>
    <col min="1" max="1" width="3.42578125" style="2" customWidth="1"/>
    <col min="2" max="2" width="55.85546875" style="100" customWidth="1"/>
    <col min="3" max="3" width="10.5703125" style="3" customWidth="1"/>
    <col min="4" max="4" width="14" style="148" customWidth="1"/>
    <col min="5" max="5" width="17.5703125" style="1" customWidth="1"/>
    <col min="6" max="16384" width="9.140625" style="1"/>
  </cols>
  <sheetData>
    <row r="1" spans="1:4" customFormat="1" ht="15">
      <c r="A1" s="47"/>
      <c r="B1" s="149"/>
      <c r="C1" s="50"/>
      <c r="D1" s="403"/>
    </row>
    <row r="2" spans="1:4" ht="24">
      <c r="A2" s="5" t="s">
        <v>0</v>
      </c>
      <c r="B2" s="6" t="s">
        <v>1</v>
      </c>
      <c r="C2" s="7"/>
      <c r="D2" s="404"/>
    </row>
    <row r="3" spans="1:4" s="24" customFormat="1" ht="11.25">
      <c r="A3" s="18">
        <v>1</v>
      </c>
      <c r="B3" s="20">
        <v>3</v>
      </c>
      <c r="C3" s="22"/>
      <c r="D3" s="406"/>
    </row>
    <row r="4" spans="1:4" s="357" customFormat="1" ht="112.5">
      <c r="A4" s="352"/>
      <c r="B4" s="493" t="s">
        <v>137</v>
      </c>
      <c r="C4" s="494"/>
      <c r="D4" s="495"/>
    </row>
    <row r="5" spans="1:4" ht="72">
      <c r="A5" s="8">
        <v>1</v>
      </c>
      <c r="B5" s="496" t="s">
        <v>3</v>
      </c>
      <c r="C5" s="497">
        <v>3347312</v>
      </c>
      <c r="D5" s="498" t="s">
        <v>416</v>
      </c>
    </row>
    <row r="6" spans="1:4" ht="18">
      <c r="A6" s="8">
        <v>2</v>
      </c>
      <c r="B6" s="496" t="s">
        <v>766</v>
      </c>
      <c r="C6" s="497">
        <v>80.400000000000006</v>
      </c>
      <c r="D6" s="498" t="s">
        <v>606</v>
      </c>
    </row>
    <row r="7" spans="1:4" ht="90">
      <c r="A7" s="8">
        <v>3</v>
      </c>
      <c r="B7" s="496" t="s">
        <v>767</v>
      </c>
      <c r="C7" s="497">
        <v>733812</v>
      </c>
      <c r="D7" s="498" t="s">
        <v>416</v>
      </c>
    </row>
    <row r="8" spans="1:4" ht="72">
      <c r="A8" s="8">
        <v>4</v>
      </c>
      <c r="B8" s="496" t="s">
        <v>768</v>
      </c>
      <c r="C8" s="497">
        <v>199680</v>
      </c>
      <c r="D8" s="498" t="s">
        <v>416</v>
      </c>
    </row>
    <row r="9" spans="1:4" ht="36">
      <c r="A9" s="8">
        <v>5</v>
      </c>
      <c r="B9" s="496" t="s">
        <v>13</v>
      </c>
      <c r="C9" s="497">
        <v>25760</v>
      </c>
      <c r="D9" s="498" t="s">
        <v>416</v>
      </c>
    </row>
    <row r="10" spans="1:4" ht="72">
      <c r="A10" s="8">
        <v>6</v>
      </c>
      <c r="B10" s="496" t="s">
        <v>15</v>
      </c>
      <c r="C10" s="497">
        <v>1664</v>
      </c>
      <c r="D10" s="498" t="s">
        <v>416</v>
      </c>
    </row>
    <row r="11" spans="1:4" ht="90">
      <c r="A11" s="8">
        <v>7</v>
      </c>
      <c r="B11" s="496" t="s">
        <v>765</v>
      </c>
      <c r="C11" s="497">
        <v>88199</v>
      </c>
      <c r="D11" s="498" t="s">
        <v>416</v>
      </c>
    </row>
    <row r="12" spans="1:4" s="24" customFormat="1" ht="93.75">
      <c r="A12" s="18"/>
      <c r="B12" s="493" t="s">
        <v>138</v>
      </c>
      <c r="C12" s="499"/>
      <c r="D12" s="500"/>
    </row>
    <row r="13" spans="1:4" customFormat="1" ht="144">
      <c r="A13" s="125" t="s">
        <v>45</v>
      </c>
      <c r="B13" s="501" t="s">
        <v>145</v>
      </c>
      <c r="C13" s="502">
        <v>65.400000000000006</v>
      </c>
      <c r="D13" s="498" t="s">
        <v>379</v>
      </c>
    </row>
    <row r="14" spans="1:4" s="209" customFormat="1" ht="108">
      <c r="A14" s="177" t="s">
        <v>147</v>
      </c>
      <c r="B14" s="503" t="s">
        <v>524</v>
      </c>
      <c r="C14" s="504">
        <v>56</v>
      </c>
      <c r="D14" s="505" t="s">
        <v>379</v>
      </c>
    </row>
    <row r="15" spans="1:4" s="128" customFormat="1" ht="72">
      <c r="A15" s="125" t="s">
        <v>148</v>
      </c>
      <c r="B15" s="501" t="s">
        <v>131</v>
      </c>
      <c r="C15" s="502">
        <v>83</v>
      </c>
      <c r="D15" s="498" t="s">
        <v>484</v>
      </c>
    </row>
    <row r="16" spans="1:4" customFormat="1" ht="36">
      <c r="A16" s="177" t="s">
        <v>152</v>
      </c>
      <c r="B16" s="501" t="s">
        <v>150</v>
      </c>
      <c r="C16" s="502">
        <v>2</v>
      </c>
      <c r="D16" s="498" t="s">
        <v>484</v>
      </c>
    </row>
    <row r="17" spans="1:5" customFormat="1" ht="90">
      <c r="A17" s="125" t="s">
        <v>153</v>
      </c>
      <c r="B17" s="501" t="s">
        <v>123</v>
      </c>
      <c r="C17" s="502">
        <v>15000</v>
      </c>
      <c r="D17" s="498" t="s">
        <v>416</v>
      </c>
    </row>
    <row r="18" spans="1:5" customFormat="1" ht="54">
      <c r="A18" s="177" t="s">
        <v>156</v>
      </c>
      <c r="B18" s="501" t="s">
        <v>769</v>
      </c>
      <c r="C18" s="502">
        <v>1759</v>
      </c>
      <c r="D18" s="498" t="s">
        <v>9</v>
      </c>
    </row>
    <row r="19" spans="1:5" customFormat="1" ht="36">
      <c r="A19" s="177"/>
      <c r="B19" s="501" t="s">
        <v>770</v>
      </c>
      <c r="C19" s="502">
        <v>1402</v>
      </c>
      <c r="D19" s="498" t="s">
        <v>9</v>
      </c>
    </row>
    <row r="20" spans="1:5" s="24" customFormat="1" ht="37.5">
      <c r="A20" s="18"/>
      <c r="B20" s="493" t="s">
        <v>309</v>
      </c>
      <c r="C20" s="499"/>
      <c r="D20" s="500"/>
    </row>
    <row r="21" spans="1:5" ht="36">
      <c r="A21" s="8" t="s">
        <v>45</v>
      </c>
      <c r="B21" s="496" t="s">
        <v>175</v>
      </c>
      <c r="C21" s="497">
        <v>36.9</v>
      </c>
      <c r="D21" s="498" t="s">
        <v>379</v>
      </c>
    </row>
    <row r="22" spans="1:5" ht="108">
      <c r="A22" s="8" t="s">
        <v>147</v>
      </c>
      <c r="B22" s="496" t="s">
        <v>179</v>
      </c>
      <c r="C22" s="497">
        <v>409</v>
      </c>
      <c r="D22" s="498" t="s">
        <v>292</v>
      </c>
    </row>
    <row r="23" spans="1:5" s="115" customFormat="1" ht="36">
      <c r="A23" s="8" t="s">
        <v>148</v>
      </c>
      <c r="B23" s="506" t="s">
        <v>772</v>
      </c>
      <c r="C23" s="507">
        <v>26.8</v>
      </c>
      <c r="D23" s="505" t="s">
        <v>379</v>
      </c>
    </row>
    <row r="24" spans="1:5" ht="36">
      <c r="A24" s="8" t="s">
        <v>152</v>
      </c>
      <c r="B24" s="496" t="s">
        <v>183</v>
      </c>
      <c r="C24" s="497">
        <v>164</v>
      </c>
      <c r="D24" s="498" t="s">
        <v>416</v>
      </c>
    </row>
    <row r="25" spans="1:5" s="115" customFormat="1" ht="36">
      <c r="A25" s="8" t="s">
        <v>153</v>
      </c>
      <c r="B25" s="506" t="s">
        <v>771</v>
      </c>
      <c r="C25" s="507">
        <v>14</v>
      </c>
      <c r="D25" s="505" t="s">
        <v>379</v>
      </c>
    </row>
    <row r="26" spans="1:5" ht="72">
      <c r="A26" s="8" t="s">
        <v>156</v>
      </c>
      <c r="B26" s="496" t="s">
        <v>773</v>
      </c>
      <c r="C26" s="497">
        <v>101.8</v>
      </c>
      <c r="D26" s="498" t="s">
        <v>9</v>
      </c>
    </row>
    <row r="27" spans="1:5" s="24" customFormat="1" ht="131.25">
      <c r="A27" s="18"/>
      <c r="B27" s="493" t="s">
        <v>139</v>
      </c>
      <c r="C27" s="499"/>
      <c r="D27" s="500"/>
    </row>
    <row r="28" spans="1:5" s="33" customFormat="1" ht="18">
      <c r="A28" s="132">
        <v>1</v>
      </c>
      <c r="B28" s="496" t="s">
        <v>125</v>
      </c>
      <c r="C28" s="508">
        <v>13670</v>
      </c>
      <c r="D28" s="498" t="s">
        <v>416</v>
      </c>
      <c r="E28" s="363"/>
    </row>
    <row r="29" spans="1:5" s="33" customFormat="1" ht="54">
      <c r="A29" s="132">
        <v>2</v>
      </c>
      <c r="B29" s="496" t="s">
        <v>774</v>
      </c>
      <c r="C29" s="508">
        <v>7842</v>
      </c>
      <c r="D29" s="498" t="s">
        <v>9</v>
      </c>
      <c r="E29" s="100"/>
    </row>
    <row r="30" spans="1:5" s="24" customFormat="1" ht="56.25">
      <c r="A30" s="18"/>
      <c r="B30" s="493" t="s">
        <v>310</v>
      </c>
      <c r="C30" s="499"/>
      <c r="D30" s="500"/>
    </row>
    <row r="31" spans="1:5" s="182" customFormat="1" ht="90">
      <c r="A31" s="177" t="s">
        <v>45</v>
      </c>
      <c r="B31" s="503" t="s">
        <v>532</v>
      </c>
      <c r="C31" s="504">
        <v>439</v>
      </c>
      <c r="D31" s="505" t="s">
        <v>484</v>
      </c>
    </row>
    <row r="32" spans="1:5" s="182" customFormat="1" ht="72">
      <c r="A32" s="177" t="s">
        <v>147</v>
      </c>
      <c r="B32" s="503" t="s">
        <v>535</v>
      </c>
      <c r="C32" s="504">
        <v>600</v>
      </c>
      <c r="D32" s="505" t="s">
        <v>484</v>
      </c>
    </row>
    <row r="33" spans="1:4" s="151" customFormat="1" ht="72">
      <c r="A33" s="177" t="s">
        <v>148</v>
      </c>
      <c r="B33" s="501" t="s">
        <v>317</v>
      </c>
      <c r="C33" s="502">
        <v>1855</v>
      </c>
      <c r="D33" s="498" t="s">
        <v>484</v>
      </c>
    </row>
    <row r="34" spans="1:4" s="151" customFormat="1" ht="36">
      <c r="A34" s="177" t="s">
        <v>152</v>
      </c>
      <c r="B34" s="501" t="s">
        <v>374</v>
      </c>
      <c r="C34" s="502">
        <v>1600</v>
      </c>
      <c r="D34" s="498" t="s">
        <v>416</v>
      </c>
    </row>
    <row r="35" spans="1:4" s="209" customFormat="1" ht="18">
      <c r="A35" s="177" t="s">
        <v>153</v>
      </c>
      <c r="B35" s="503" t="s">
        <v>775</v>
      </c>
      <c r="C35" s="504">
        <v>200</v>
      </c>
      <c r="D35" s="505" t="s">
        <v>484</v>
      </c>
    </row>
    <row r="36" spans="1:4" s="182" customFormat="1" ht="54">
      <c r="A36" s="177" t="s">
        <v>156</v>
      </c>
      <c r="B36" s="503" t="s">
        <v>575</v>
      </c>
      <c r="C36" s="504">
        <v>200</v>
      </c>
      <c r="D36" s="505" t="s">
        <v>484</v>
      </c>
    </row>
    <row r="37" spans="1:4" s="151" customFormat="1" ht="36">
      <c r="A37" s="177" t="s">
        <v>159</v>
      </c>
      <c r="B37" s="501" t="s">
        <v>320</v>
      </c>
      <c r="C37" s="502">
        <v>26000</v>
      </c>
      <c r="D37" s="498" t="s">
        <v>416</v>
      </c>
    </row>
    <row r="38" spans="1:4" s="151" customFormat="1" ht="36">
      <c r="A38" s="177" t="s">
        <v>162</v>
      </c>
      <c r="B38" s="501" t="s">
        <v>323</v>
      </c>
      <c r="C38" s="502">
        <v>44600</v>
      </c>
      <c r="D38" s="498" t="s">
        <v>416</v>
      </c>
    </row>
    <row r="39" spans="1:4" s="151" customFormat="1" ht="72">
      <c r="A39" s="177" t="s">
        <v>173</v>
      </c>
      <c r="B39" s="501" t="s">
        <v>325</v>
      </c>
      <c r="C39" s="502">
        <v>474500</v>
      </c>
      <c r="D39" s="498" t="s">
        <v>416</v>
      </c>
    </row>
    <row r="40" spans="1:4" s="151" customFormat="1" ht="54">
      <c r="A40" s="177" t="s">
        <v>177</v>
      </c>
      <c r="B40" s="501" t="s">
        <v>328</v>
      </c>
      <c r="C40" s="502">
        <v>125</v>
      </c>
      <c r="D40" s="498" t="s">
        <v>776</v>
      </c>
    </row>
    <row r="41" spans="1:4" s="151" customFormat="1" ht="54">
      <c r="A41" s="177" t="s">
        <v>181</v>
      </c>
      <c r="B41" s="501" t="s">
        <v>331</v>
      </c>
      <c r="C41" s="502">
        <v>479.2</v>
      </c>
      <c r="D41" s="498" t="s">
        <v>379</v>
      </c>
    </row>
    <row r="42" spans="1:4" s="151" customFormat="1" ht="90">
      <c r="A42" s="177" t="s">
        <v>185</v>
      </c>
      <c r="B42" s="501" t="s">
        <v>334</v>
      </c>
      <c r="C42" s="502">
        <v>6200</v>
      </c>
      <c r="D42" s="498" t="s">
        <v>416</v>
      </c>
    </row>
    <row r="43" spans="1:4" s="151" customFormat="1" ht="36">
      <c r="A43" s="177" t="s">
        <v>188</v>
      </c>
      <c r="B43" s="501" t="s">
        <v>204</v>
      </c>
      <c r="C43" s="502">
        <v>9864</v>
      </c>
      <c r="D43" s="498" t="s">
        <v>416</v>
      </c>
    </row>
    <row r="44" spans="1:4" s="151" customFormat="1" ht="36">
      <c r="A44" s="177" t="s">
        <v>413</v>
      </c>
      <c r="B44" s="501" t="s">
        <v>777</v>
      </c>
      <c r="C44" s="502">
        <v>3000</v>
      </c>
      <c r="D44" s="498" t="s">
        <v>416</v>
      </c>
    </row>
    <row r="45" spans="1:4" s="151" customFormat="1" ht="36">
      <c r="A45" s="177" t="s">
        <v>120</v>
      </c>
      <c r="B45" s="501" t="s">
        <v>211</v>
      </c>
      <c r="C45" s="502">
        <v>500</v>
      </c>
      <c r="D45" s="498" t="s">
        <v>484</v>
      </c>
    </row>
    <row r="46" spans="1:4" s="151" customFormat="1" ht="54">
      <c r="A46" s="177" t="s">
        <v>122</v>
      </c>
      <c r="B46" s="501" t="s">
        <v>778</v>
      </c>
      <c r="C46" s="502">
        <v>1240</v>
      </c>
      <c r="D46" s="498" t="s">
        <v>416</v>
      </c>
    </row>
    <row r="47" spans="1:4" s="182" customFormat="1" ht="18">
      <c r="A47" s="177" t="s">
        <v>420</v>
      </c>
      <c r="B47" s="503" t="s">
        <v>779</v>
      </c>
      <c r="C47" s="509">
        <v>7.2</v>
      </c>
      <c r="D47" s="505" t="s">
        <v>416</v>
      </c>
    </row>
    <row r="48" spans="1:4" s="182" customFormat="1" ht="72">
      <c r="A48" s="177" t="s">
        <v>421</v>
      </c>
      <c r="B48" s="503" t="s">
        <v>780</v>
      </c>
      <c r="C48" s="504">
        <v>108</v>
      </c>
      <c r="D48" s="505" t="s">
        <v>379</v>
      </c>
    </row>
    <row r="49" spans="1:5" s="182" customFormat="1" ht="36">
      <c r="A49" s="177" t="s">
        <v>422</v>
      </c>
      <c r="B49" s="503" t="s">
        <v>781</v>
      </c>
      <c r="C49" s="504">
        <v>1200</v>
      </c>
      <c r="D49" s="505" t="s">
        <v>416</v>
      </c>
    </row>
    <row r="50" spans="1:5" s="182" customFormat="1" ht="18">
      <c r="A50" s="177" t="s">
        <v>512</v>
      </c>
      <c r="B50" s="503" t="s">
        <v>782</v>
      </c>
      <c r="C50" s="504">
        <v>20</v>
      </c>
      <c r="D50" s="505" t="s">
        <v>416</v>
      </c>
    </row>
    <row r="51" spans="1:5" s="182" customFormat="1" ht="54">
      <c r="A51" s="177" t="s">
        <v>514</v>
      </c>
      <c r="B51" s="503" t="s">
        <v>783</v>
      </c>
      <c r="C51" s="504">
        <v>5</v>
      </c>
      <c r="D51" s="505" t="s">
        <v>416</v>
      </c>
    </row>
    <row r="52" spans="1:5" s="182" customFormat="1" ht="54">
      <c r="A52" s="177" t="s">
        <v>202</v>
      </c>
      <c r="B52" s="503" t="s">
        <v>761</v>
      </c>
      <c r="C52" s="509">
        <v>15</v>
      </c>
      <c r="D52" s="505" t="s">
        <v>416</v>
      </c>
    </row>
    <row r="53" spans="1:5" s="182" customFormat="1" ht="36">
      <c r="A53" s="177" t="s">
        <v>205</v>
      </c>
      <c r="B53" s="510" t="s">
        <v>581</v>
      </c>
      <c r="C53" s="511">
        <v>112.5</v>
      </c>
      <c r="D53" s="512" t="s">
        <v>379</v>
      </c>
    </row>
    <row r="54" spans="1:5" s="24" customFormat="1" ht="112.5">
      <c r="A54" s="18"/>
      <c r="B54" s="493" t="s">
        <v>370</v>
      </c>
      <c r="C54" s="499"/>
      <c r="D54" s="495"/>
    </row>
    <row r="55" spans="1:5" s="161" customFormat="1" ht="72">
      <c r="A55" s="8" t="s">
        <v>45</v>
      </c>
      <c r="B55" s="496" t="s">
        <v>807</v>
      </c>
      <c r="C55" s="508">
        <v>615</v>
      </c>
      <c r="D55" s="513" t="s">
        <v>416</v>
      </c>
    </row>
    <row r="56" spans="1:5" s="161" customFormat="1" ht="108">
      <c r="A56" s="8" t="s">
        <v>147</v>
      </c>
      <c r="B56" s="496" t="s">
        <v>366</v>
      </c>
      <c r="C56" s="508">
        <v>71</v>
      </c>
      <c r="D56" s="513" t="s">
        <v>292</v>
      </c>
    </row>
    <row r="57" spans="1:5" s="161" customFormat="1" ht="126">
      <c r="A57" s="8" t="s">
        <v>148</v>
      </c>
      <c r="B57" s="496" t="s">
        <v>369</v>
      </c>
      <c r="C57" s="514">
        <v>96</v>
      </c>
      <c r="D57" s="513" t="s">
        <v>292</v>
      </c>
    </row>
    <row r="58" spans="1:5" s="161" customFormat="1" ht="54">
      <c r="A58" s="8" t="s">
        <v>152</v>
      </c>
      <c r="B58" s="496" t="s">
        <v>389</v>
      </c>
      <c r="C58" s="514">
        <v>1275</v>
      </c>
      <c r="D58" s="498" t="s">
        <v>292</v>
      </c>
    </row>
    <row r="59" spans="1:5" s="161" customFormat="1" ht="108">
      <c r="A59" s="8" t="s">
        <v>153</v>
      </c>
      <c r="B59" s="496" t="s">
        <v>392</v>
      </c>
      <c r="C59" s="508">
        <v>1500</v>
      </c>
      <c r="D59" s="498" t="s">
        <v>416</v>
      </c>
    </row>
    <row r="60" spans="1:5" s="219" customFormat="1" ht="54">
      <c r="A60" s="8" t="s">
        <v>156</v>
      </c>
      <c r="B60" s="506" t="s">
        <v>808</v>
      </c>
      <c r="C60" s="515">
        <v>6</v>
      </c>
      <c r="D60" s="505" t="s">
        <v>484</v>
      </c>
    </row>
    <row r="61" spans="1:5" s="24" customFormat="1" ht="56.25">
      <c r="A61" s="18"/>
      <c r="B61" s="493" t="s">
        <v>312</v>
      </c>
      <c r="C61" s="499"/>
      <c r="D61" s="500"/>
      <c r="E61" s="351"/>
    </row>
    <row r="62" spans="1:5" s="156" customFormat="1" ht="54">
      <c r="A62" s="154" t="s">
        <v>45</v>
      </c>
      <c r="B62" s="501" t="s">
        <v>789</v>
      </c>
      <c r="C62" s="516">
        <v>630</v>
      </c>
      <c r="D62" s="498" t="s">
        <v>484</v>
      </c>
    </row>
    <row r="63" spans="1:5" s="156" customFormat="1" ht="36">
      <c r="A63" s="154" t="s">
        <v>147</v>
      </c>
      <c r="B63" s="501" t="s">
        <v>234</v>
      </c>
      <c r="C63" s="516">
        <v>6</v>
      </c>
      <c r="D63" s="498" t="s">
        <v>484</v>
      </c>
    </row>
    <row r="64" spans="1:5" s="156" customFormat="1" ht="36">
      <c r="A64" s="154" t="s">
        <v>148</v>
      </c>
      <c r="B64" s="501" t="s">
        <v>237</v>
      </c>
      <c r="C64" s="516">
        <v>12</v>
      </c>
      <c r="D64" s="498" t="s">
        <v>484</v>
      </c>
    </row>
    <row r="65" spans="1:4" s="194" customFormat="1" ht="18">
      <c r="A65" s="154" t="s">
        <v>152</v>
      </c>
      <c r="B65" s="503" t="s">
        <v>790</v>
      </c>
      <c r="C65" s="517">
        <v>50</v>
      </c>
      <c r="D65" s="505" t="s">
        <v>484</v>
      </c>
    </row>
    <row r="66" spans="1:4" s="156" customFormat="1" ht="18">
      <c r="A66" s="154" t="s">
        <v>153</v>
      </c>
      <c r="B66" s="501" t="s">
        <v>791</v>
      </c>
      <c r="C66" s="516">
        <f>13+61</f>
        <v>74</v>
      </c>
      <c r="D66" s="498" t="s">
        <v>484</v>
      </c>
    </row>
    <row r="67" spans="1:4" s="156" customFormat="1" ht="18">
      <c r="A67" s="154" t="s">
        <v>156</v>
      </c>
      <c r="B67" s="501" t="s">
        <v>243</v>
      </c>
      <c r="C67" s="516">
        <v>5</v>
      </c>
      <c r="D67" s="498" t="s">
        <v>484</v>
      </c>
    </row>
    <row r="68" spans="1:4" s="156" customFormat="1" ht="18">
      <c r="A68" s="154" t="s">
        <v>159</v>
      </c>
      <c r="B68" s="501" t="s">
        <v>246</v>
      </c>
      <c r="C68" s="516">
        <v>9</v>
      </c>
      <c r="D68" s="498" t="s">
        <v>484</v>
      </c>
    </row>
    <row r="69" spans="1:4" s="156" customFormat="1" ht="54">
      <c r="A69" s="154" t="s">
        <v>162</v>
      </c>
      <c r="B69" s="501" t="s">
        <v>249</v>
      </c>
      <c r="C69" s="516">
        <v>66</v>
      </c>
      <c r="D69" s="498" t="s">
        <v>484</v>
      </c>
    </row>
    <row r="70" spans="1:4" s="194" customFormat="1" ht="36">
      <c r="A70" s="154" t="s">
        <v>173</v>
      </c>
      <c r="B70" s="503" t="s">
        <v>428</v>
      </c>
      <c r="C70" s="517">
        <v>1</v>
      </c>
      <c r="D70" s="505" t="s">
        <v>484</v>
      </c>
    </row>
    <row r="71" spans="1:4" s="194" customFormat="1" ht="36">
      <c r="A71" s="154" t="s">
        <v>177</v>
      </c>
      <c r="B71" s="503" t="s">
        <v>792</v>
      </c>
      <c r="C71" s="517">
        <v>2</v>
      </c>
      <c r="D71" s="505" t="s">
        <v>484</v>
      </c>
    </row>
    <row r="72" spans="1:4" s="194" customFormat="1" ht="54">
      <c r="A72" s="154" t="s">
        <v>181</v>
      </c>
      <c r="B72" s="503" t="s">
        <v>793</v>
      </c>
      <c r="C72" s="517">
        <v>24</v>
      </c>
      <c r="D72" s="505" t="s">
        <v>484</v>
      </c>
    </row>
    <row r="73" spans="1:4" s="156" customFormat="1" ht="54">
      <c r="A73" s="154" t="s">
        <v>185</v>
      </c>
      <c r="B73" s="501" t="s">
        <v>252</v>
      </c>
      <c r="C73" s="516">
        <v>9</v>
      </c>
      <c r="D73" s="498" t="s">
        <v>484</v>
      </c>
    </row>
    <row r="74" spans="1:4" s="156" customFormat="1" ht="54">
      <c r="A74" s="154" t="s">
        <v>188</v>
      </c>
      <c r="B74" s="501" t="s">
        <v>256</v>
      </c>
      <c r="C74" s="516">
        <v>13</v>
      </c>
      <c r="D74" s="498" t="s">
        <v>484</v>
      </c>
    </row>
    <row r="75" spans="1:4" s="156" customFormat="1" ht="18">
      <c r="A75" s="154" t="s">
        <v>413</v>
      </c>
      <c r="B75" s="501" t="s">
        <v>794</v>
      </c>
      <c r="C75" s="516">
        <v>270</v>
      </c>
      <c r="D75" s="498" t="s">
        <v>292</v>
      </c>
    </row>
    <row r="76" spans="1:4" s="194" customFormat="1" ht="72">
      <c r="A76" s="154" t="s">
        <v>120</v>
      </c>
      <c r="B76" s="503" t="s">
        <v>795</v>
      </c>
      <c r="C76" s="517">
        <f>835-270</f>
        <v>565</v>
      </c>
      <c r="D76" s="505" t="s">
        <v>292</v>
      </c>
    </row>
    <row r="77" spans="1:4" s="156" customFormat="1" ht="54">
      <c r="A77" s="154" t="s">
        <v>122</v>
      </c>
      <c r="B77" s="501" t="s">
        <v>796</v>
      </c>
      <c r="C77" s="516">
        <v>25</v>
      </c>
      <c r="D77" s="498" t="s">
        <v>484</v>
      </c>
    </row>
    <row r="78" spans="1:4" s="156" customFormat="1" ht="36">
      <c r="A78" s="154" t="s">
        <v>420</v>
      </c>
      <c r="B78" s="501" t="s">
        <v>797</v>
      </c>
      <c r="C78" s="516">
        <v>260</v>
      </c>
      <c r="D78" s="498" t="s">
        <v>292</v>
      </c>
    </row>
    <row r="79" spans="1:4" s="156" customFormat="1" ht="90">
      <c r="A79" s="154" t="s">
        <v>421</v>
      </c>
      <c r="B79" s="501" t="s">
        <v>798</v>
      </c>
      <c r="C79" s="516">
        <v>12</v>
      </c>
      <c r="D79" s="498" t="s">
        <v>484</v>
      </c>
    </row>
    <row r="80" spans="1:4" s="156" customFormat="1" ht="18">
      <c r="A80" s="154" t="s">
        <v>422</v>
      </c>
      <c r="B80" s="501" t="s">
        <v>799</v>
      </c>
      <c r="C80" s="516">
        <v>3</v>
      </c>
      <c r="D80" s="498" t="s">
        <v>484</v>
      </c>
    </row>
    <row r="81" spans="1:5" s="194" customFormat="1" ht="18">
      <c r="A81" s="154" t="s">
        <v>512</v>
      </c>
      <c r="B81" s="503" t="s">
        <v>543</v>
      </c>
      <c r="C81" s="517">
        <v>2</v>
      </c>
      <c r="D81" s="505" t="s">
        <v>484</v>
      </c>
    </row>
    <row r="82" spans="1:5" s="156" customFormat="1" ht="54">
      <c r="A82" s="154" t="s">
        <v>514</v>
      </c>
      <c r="B82" s="501" t="s">
        <v>265</v>
      </c>
      <c r="C82" s="516">
        <v>21</v>
      </c>
      <c r="D82" s="498" t="s">
        <v>484</v>
      </c>
    </row>
    <row r="83" spans="1:5" s="194" customFormat="1" ht="72">
      <c r="A83" s="154" t="s">
        <v>202</v>
      </c>
      <c r="B83" s="503" t="s">
        <v>603</v>
      </c>
      <c r="C83" s="517">
        <v>1</v>
      </c>
      <c r="D83" s="505" t="s">
        <v>484</v>
      </c>
    </row>
    <row r="84" spans="1:5" s="194" customFormat="1" ht="54">
      <c r="A84" s="154" t="s">
        <v>205</v>
      </c>
      <c r="B84" s="503" t="s">
        <v>800</v>
      </c>
      <c r="C84" s="517">
        <v>40</v>
      </c>
      <c r="D84" s="505" t="s">
        <v>484</v>
      </c>
    </row>
    <row r="85" spans="1:5" s="194" customFormat="1" ht="54">
      <c r="A85" s="154" t="s">
        <v>209</v>
      </c>
      <c r="B85" s="503" t="s">
        <v>490</v>
      </c>
      <c r="C85" s="517">
        <v>130</v>
      </c>
      <c r="D85" s="505" t="s">
        <v>292</v>
      </c>
    </row>
    <row r="86" spans="1:5" s="156" customFormat="1" ht="36">
      <c r="A86" s="154" t="s">
        <v>213</v>
      </c>
      <c r="B86" s="501" t="s">
        <v>268</v>
      </c>
      <c r="C86" s="516">
        <v>655</v>
      </c>
      <c r="D86" s="498" t="s">
        <v>292</v>
      </c>
    </row>
    <row r="87" spans="1:5" s="156" customFormat="1" ht="72">
      <c r="A87" s="154" t="s">
        <v>217</v>
      </c>
      <c r="B87" s="501" t="s">
        <v>801</v>
      </c>
      <c r="C87" s="516">
        <v>26</v>
      </c>
      <c r="D87" s="498" t="s">
        <v>802</v>
      </c>
    </row>
    <row r="88" spans="1:5" s="194" customFormat="1" ht="90">
      <c r="A88" s="154" t="s">
        <v>221</v>
      </c>
      <c r="B88" s="503" t="s">
        <v>803</v>
      </c>
      <c r="C88" s="517">
        <v>49.9</v>
      </c>
      <c r="D88" s="505" t="s">
        <v>606</v>
      </c>
    </row>
    <row r="89" spans="1:5" s="194" customFormat="1" ht="54">
      <c r="A89" s="154" t="s">
        <v>225</v>
      </c>
      <c r="B89" s="503" t="s">
        <v>804</v>
      </c>
      <c r="C89" s="517">
        <v>49.9</v>
      </c>
      <c r="D89" s="505" t="s">
        <v>606</v>
      </c>
    </row>
    <row r="90" spans="1:5" s="24" customFormat="1" ht="168.75">
      <c r="A90" s="18"/>
      <c r="B90" s="493" t="s">
        <v>784</v>
      </c>
      <c r="C90" s="499"/>
      <c r="D90" s="500"/>
      <c r="E90" s="351"/>
    </row>
    <row r="91" spans="1:5" s="168" customFormat="1" ht="72">
      <c r="A91" s="183" t="s">
        <v>45</v>
      </c>
      <c r="B91" s="503" t="s">
        <v>786</v>
      </c>
      <c r="C91" s="515">
        <v>25</v>
      </c>
      <c r="D91" s="505" t="s">
        <v>484</v>
      </c>
    </row>
    <row r="92" spans="1:5" s="182" customFormat="1" ht="13.15" customHeight="1">
      <c r="A92" s="257"/>
      <c r="B92" s="518" t="s">
        <v>806</v>
      </c>
      <c r="C92" s="519"/>
      <c r="D92" s="505"/>
    </row>
    <row r="93" spans="1:5" s="194" customFormat="1" ht="18">
      <c r="A93" s="183" t="s">
        <v>147</v>
      </c>
      <c r="B93" s="503" t="s">
        <v>787</v>
      </c>
      <c r="C93" s="517">
        <v>5</v>
      </c>
      <c r="D93" s="505" t="s">
        <v>484</v>
      </c>
    </row>
    <row r="94" spans="1:5" s="168" customFormat="1" ht="36">
      <c r="A94" s="166">
        <v>3</v>
      </c>
      <c r="B94" s="503" t="s">
        <v>788</v>
      </c>
      <c r="C94" s="515">
        <v>1</v>
      </c>
      <c r="D94" s="505" t="s">
        <v>484</v>
      </c>
    </row>
    <row r="95" spans="1:5" s="168" customFormat="1" ht="18">
      <c r="A95" s="183" t="s">
        <v>148</v>
      </c>
      <c r="B95" s="503" t="s">
        <v>702</v>
      </c>
      <c r="C95" s="515">
        <v>50</v>
      </c>
      <c r="D95" s="505" t="s">
        <v>484</v>
      </c>
    </row>
    <row r="96" spans="1:5" s="168" customFormat="1" ht="36">
      <c r="A96" s="166">
        <v>4</v>
      </c>
      <c r="B96" s="503" t="s">
        <v>704</v>
      </c>
      <c r="C96" s="515">
        <v>20</v>
      </c>
      <c r="D96" s="505" t="s">
        <v>416</v>
      </c>
    </row>
    <row r="97" spans="1:4" s="168" customFormat="1" ht="72">
      <c r="A97" s="183" t="s">
        <v>152</v>
      </c>
      <c r="B97" s="503" t="s">
        <v>705</v>
      </c>
      <c r="C97" s="515">
        <v>10</v>
      </c>
      <c r="D97" s="505" t="s">
        <v>484</v>
      </c>
    </row>
    <row r="98" spans="1:4" s="168" customFormat="1" ht="72">
      <c r="A98" s="166">
        <v>5</v>
      </c>
      <c r="B98" s="503" t="s">
        <v>707</v>
      </c>
      <c r="C98" s="515">
        <v>11</v>
      </c>
      <c r="D98" s="505" t="s">
        <v>484</v>
      </c>
    </row>
    <row r="99" spans="1:4" s="168" customFormat="1" ht="18">
      <c r="A99" s="166"/>
      <c r="B99" s="503" t="s">
        <v>805</v>
      </c>
      <c r="C99" s="515"/>
      <c r="D99" s="505"/>
    </row>
    <row r="100" spans="1:4" s="182" customFormat="1" ht="90">
      <c r="A100" s="177" t="s">
        <v>156</v>
      </c>
      <c r="B100" s="506" t="s">
        <v>785</v>
      </c>
      <c r="C100" s="520">
        <v>112</v>
      </c>
      <c r="D100" s="505" t="s">
        <v>224</v>
      </c>
    </row>
    <row r="101" spans="1:4" s="151" customFormat="1" ht="108">
      <c r="A101" s="125" t="s">
        <v>159</v>
      </c>
      <c r="B101" s="496" t="s">
        <v>385</v>
      </c>
      <c r="C101" s="521">
        <v>4652</v>
      </c>
      <c r="D101" s="505" t="s">
        <v>224</v>
      </c>
    </row>
    <row r="102" spans="1:4" s="151" customFormat="1" ht="54">
      <c r="A102" s="125" t="s">
        <v>162</v>
      </c>
      <c r="B102" s="496" t="s">
        <v>387</v>
      </c>
      <c r="C102" s="521">
        <v>2556</v>
      </c>
      <c r="D102" s="505" t="s">
        <v>224</v>
      </c>
    </row>
    <row r="103" spans="1:4" s="151" customFormat="1" ht="54">
      <c r="A103" s="154" t="s">
        <v>173</v>
      </c>
      <c r="B103" s="496" t="s">
        <v>276</v>
      </c>
      <c r="C103" s="521">
        <v>322</v>
      </c>
      <c r="D103" s="505" t="s">
        <v>224</v>
      </c>
    </row>
    <row r="105" spans="1:4">
      <c r="D105" s="40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3"/>
  <sheetViews>
    <sheetView topLeftCell="A44" workbookViewId="0">
      <selection activeCell="J61" sqref="J61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7109375" style="1" customWidth="1"/>
    <col min="8" max="8" width="9.140625" style="1"/>
    <col min="9" max="9" width="12.7109375" style="1" customWidth="1"/>
    <col min="10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41"/>
      <c r="F4" s="142" t="s">
        <v>29</v>
      </c>
      <c r="G4" s="143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40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40" t="s">
        <v>32</v>
      </c>
      <c r="E7" s="418"/>
      <c r="F7" s="418"/>
      <c r="G7" s="418"/>
    </row>
    <row r="8" spans="1:7" customFormat="1" ht="15">
      <c r="A8" s="408" t="s">
        <v>168</v>
      </c>
      <c r="B8" s="408"/>
      <c r="C8" s="408"/>
      <c r="D8" s="140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44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44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45"/>
      <c r="G14" s="145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8" customFormat="1" ht="15">
      <c r="A17" s="34"/>
      <c r="B17" s="34"/>
      <c r="C17" s="44"/>
      <c r="D17" s="45" t="s">
        <v>45</v>
      </c>
      <c r="E17" s="52" t="s">
        <v>169</v>
      </c>
      <c r="F17" s="52" t="s">
        <v>170</v>
      </c>
      <c r="G17" s="52" t="s">
        <v>171</v>
      </c>
    </row>
    <row r="18" spans="1:8" customFormat="1" ht="15">
      <c r="A18" s="47"/>
      <c r="B18" s="48"/>
      <c r="C18" s="146" t="s">
        <v>46</v>
      </c>
      <c r="D18" s="49"/>
      <c r="E18" s="47"/>
      <c r="F18" s="50"/>
      <c r="G18" s="51"/>
    </row>
    <row r="19" spans="1:8" customFormat="1" ht="15">
      <c r="A19" s="47"/>
      <c r="B19" s="426" t="s">
        <v>172</v>
      </c>
      <c r="C19" s="426"/>
      <c r="D19" s="426"/>
      <c r="E19" s="426"/>
      <c r="F19" s="50"/>
      <c r="G19" s="51"/>
    </row>
    <row r="20" spans="1:8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8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8" s="24" customFormat="1" ht="24">
      <c r="A22" s="18"/>
      <c r="B22" s="19"/>
      <c r="C22" s="147" t="s">
        <v>312</v>
      </c>
      <c r="D22" s="20"/>
      <c r="E22" s="21"/>
      <c r="F22" s="22"/>
      <c r="G22" s="23"/>
    </row>
    <row r="23" spans="1:8" s="156" customFormat="1" ht="12">
      <c r="A23" s="154" t="s">
        <v>225</v>
      </c>
      <c r="B23" s="126" t="s">
        <v>226</v>
      </c>
      <c r="C23" s="127" t="s">
        <v>227</v>
      </c>
      <c r="D23" s="129" t="s">
        <v>228</v>
      </c>
      <c r="E23" s="129">
        <f>0.52+0.12+0.09+0.52</f>
        <v>1.25</v>
      </c>
      <c r="F23" s="155">
        <v>1517.86</v>
      </c>
      <c r="G23" s="16">
        <f t="shared" ref="G23:G53" si="0">E23*F23</f>
        <v>1897.33</v>
      </c>
      <c r="H23" s="156" t="s">
        <v>165</v>
      </c>
    </row>
    <row r="24" spans="1:8" s="156" customFormat="1" ht="24">
      <c r="A24" s="154" t="s">
        <v>229</v>
      </c>
      <c r="B24" s="126" t="s">
        <v>230</v>
      </c>
      <c r="C24" s="127" t="s">
        <v>231</v>
      </c>
      <c r="D24" s="129" t="s">
        <v>228</v>
      </c>
      <c r="E24" s="129">
        <f>0.12+0.04+0.08+0.04+0.05+0.09+0.07+0.03+0.07+0.05+0.07+0.06+0.04+0.05+0.14+0.07</f>
        <v>1.07</v>
      </c>
      <c r="F24" s="155">
        <v>2971.45</v>
      </c>
      <c r="G24" s="16">
        <f t="shared" si="0"/>
        <v>3179.45</v>
      </c>
      <c r="H24" s="156" t="s">
        <v>165</v>
      </c>
    </row>
    <row r="25" spans="1:8" s="156" customFormat="1" ht="12">
      <c r="A25" s="154" t="s">
        <v>232</v>
      </c>
      <c r="B25" s="126" t="s">
        <v>233</v>
      </c>
      <c r="C25" s="127" t="s">
        <v>234</v>
      </c>
      <c r="D25" s="129" t="s">
        <v>228</v>
      </c>
      <c r="E25" s="129">
        <f>(1+1+1+1)/100</f>
        <v>0.04</v>
      </c>
      <c r="F25" s="155">
        <v>69829.78</v>
      </c>
      <c r="G25" s="16">
        <f t="shared" si="0"/>
        <v>2793.19</v>
      </c>
      <c r="H25" s="156" t="s">
        <v>165</v>
      </c>
    </row>
    <row r="26" spans="1:8" s="156" customFormat="1" ht="12">
      <c r="A26" s="154" t="s">
        <v>235</v>
      </c>
      <c r="B26" s="126" t="s">
        <v>236</v>
      </c>
      <c r="C26" s="127" t="s">
        <v>237</v>
      </c>
      <c r="D26" s="129" t="s">
        <v>228</v>
      </c>
      <c r="E26" s="129">
        <f>(1+1+1+2)/100</f>
        <v>0.05</v>
      </c>
      <c r="F26" s="155">
        <v>19579.490000000002</v>
      </c>
      <c r="G26" s="16">
        <f t="shared" si="0"/>
        <v>978.97</v>
      </c>
      <c r="H26" s="156" t="s">
        <v>165</v>
      </c>
    </row>
    <row r="27" spans="1:8" s="156" customFormat="1" ht="24">
      <c r="A27" s="154" t="s">
        <v>238</v>
      </c>
      <c r="B27" s="126" t="s">
        <v>239</v>
      </c>
      <c r="C27" s="127" t="s">
        <v>240</v>
      </c>
      <c r="D27" s="129" t="s">
        <v>228</v>
      </c>
      <c r="E27" s="129">
        <f>0.02+0.02</f>
        <v>0.04</v>
      </c>
      <c r="F27" s="155">
        <v>39391.39</v>
      </c>
      <c r="G27" s="16">
        <f t="shared" si="0"/>
        <v>1575.66</v>
      </c>
      <c r="H27" s="156" t="s">
        <v>165</v>
      </c>
    </row>
    <row r="28" spans="1:8" s="156" customFormat="1" ht="12">
      <c r="A28" s="154" t="s">
        <v>241</v>
      </c>
      <c r="B28" s="126" t="s">
        <v>242</v>
      </c>
      <c r="C28" s="127" t="s">
        <v>243</v>
      </c>
      <c r="D28" s="129" t="s">
        <v>228</v>
      </c>
      <c r="E28" s="129">
        <v>0.02</v>
      </c>
      <c r="F28" s="155">
        <v>21068.55</v>
      </c>
      <c r="G28" s="16">
        <f t="shared" si="0"/>
        <v>421.37</v>
      </c>
      <c r="H28" s="156" t="s">
        <v>165</v>
      </c>
    </row>
    <row r="29" spans="1:8" s="156" customFormat="1" ht="12">
      <c r="A29" s="154" t="s">
        <v>244</v>
      </c>
      <c r="B29" s="126" t="s">
        <v>245</v>
      </c>
      <c r="C29" s="127" t="s">
        <v>246</v>
      </c>
      <c r="D29" s="129" t="s">
        <v>228</v>
      </c>
      <c r="E29" s="129">
        <f>0.06</f>
        <v>0.06</v>
      </c>
      <c r="F29" s="155">
        <v>7738</v>
      </c>
      <c r="G29" s="16">
        <f t="shared" si="0"/>
        <v>464.28</v>
      </c>
      <c r="H29" s="156" t="s">
        <v>165</v>
      </c>
    </row>
    <row r="30" spans="1:8" s="156" customFormat="1" ht="24">
      <c r="A30" s="154" t="s">
        <v>247</v>
      </c>
      <c r="B30" s="126" t="s">
        <v>248</v>
      </c>
      <c r="C30" s="127" t="s">
        <v>249</v>
      </c>
      <c r="D30" s="129" t="s">
        <v>228</v>
      </c>
      <c r="E30" s="129">
        <f>0.32</f>
        <v>0.32</v>
      </c>
      <c r="F30" s="155">
        <v>29093.69</v>
      </c>
      <c r="G30" s="16">
        <f t="shared" si="0"/>
        <v>9309.98</v>
      </c>
      <c r="H30" s="156" t="s">
        <v>165</v>
      </c>
    </row>
    <row r="31" spans="1:8" s="156" customFormat="1" ht="24">
      <c r="A31" s="154" t="s">
        <v>250</v>
      </c>
      <c r="B31" s="126" t="s">
        <v>251</v>
      </c>
      <c r="C31" s="127" t="s">
        <v>252</v>
      </c>
      <c r="D31" s="129" t="s">
        <v>253</v>
      </c>
      <c r="E31" s="129">
        <f>1+1+1+1+1</f>
        <v>5</v>
      </c>
      <c r="F31" s="155">
        <v>398.2</v>
      </c>
      <c r="G31" s="16">
        <f t="shared" si="0"/>
        <v>1991</v>
      </c>
      <c r="H31" s="156" t="s">
        <v>165</v>
      </c>
    </row>
    <row r="32" spans="1:8" s="156" customFormat="1" ht="24">
      <c r="A32" s="154" t="s">
        <v>254</v>
      </c>
      <c r="B32" s="126" t="s">
        <v>255</v>
      </c>
      <c r="C32" s="127" t="s">
        <v>256</v>
      </c>
      <c r="D32" s="129" t="s">
        <v>253</v>
      </c>
      <c r="E32" s="129">
        <f>1+1+1+1</f>
        <v>4</v>
      </c>
      <c r="F32" s="155">
        <v>685.76</v>
      </c>
      <c r="G32" s="16">
        <f t="shared" si="0"/>
        <v>2743.04</v>
      </c>
      <c r="H32" s="156" t="s">
        <v>165</v>
      </c>
    </row>
    <row r="33" spans="1:8" s="156" customFormat="1" ht="36">
      <c r="A33" s="154" t="s">
        <v>257</v>
      </c>
      <c r="B33" s="126" t="s">
        <v>258</v>
      </c>
      <c r="C33" s="127" t="s">
        <v>259</v>
      </c>
      <c r="D33" s="129" t="s">
        <v>253</v>
      </c>
      <c r="E33" s="129">
        <f>9+3+2+4+4+7+2+3+7+2+2</f>
        <v>45</v>
      </c>
      <c r="F33" s="155">
        <v>1020.87</v>
      </c>
      <c r="G33" s="16">
        <f t="shared" si="0"/>
        <v>45939.15</v>
      </c>
      <c r="H33" s="156" t="s">
        <v>165</v>
      </c>
    </row>
    <row r="34" spans="1:8" s="156" customFormat="1" ht="36">
      <c r="A34" s="154" t="s">
        <v>260</v>
      </c>
      <c r="B34" s="126" t="s">
        <v>261</v>
      </c>
      <c r="C34" s="127" t="s">
        <v>262</v>
      </c>
      <c r="D34" s="129" t="s">
        <v>253</v>
      </c>
      <c r="E34" s="129">
        <f>9+3+2+2+4+4+2+2+3+7+2</f>
        <v>40</v>
      </c>
      <c r="F34" s="155">
        <v>1747.4</v>
      </c>
      <c r="G34" s="16">
        <f t="shared" si="0"/>
        <v>69896</v>
      </c>
      <c r="H34" s="156" t="s">
        <v>165</v>
      </c>
    </row>
    <row r="35" spans="1:8" s="156" customFormat="1" ht="24">
      <c r="A35" s="154" t="s">
        <v>263</v>
      </c>
      <c r="B35" s="126" t="s">
        <v>264</v>
      </c>
      <c r="C35" s="127" t="s">
        <v>265</v>
      </c>
      <c r="D35" s="129" t="s">
        <v>228</v>
      </c>
      <c r="E35" s="129">
        <f>0.05+0.07</f>
        <v>0.12</v>
      </c>
      <c r="F35" s="155">
        <v>204627.42</v>
      </c>
      <c r="G35" s="16">
        <f t="shared" si="0"/>
        <v>24555.29</v>
      </c>
      <c r="H35" s="156" t="s">
        <v>165</v>
      </c>
    </row>
    <row r="36" spans="1:8" s="156" customFormat="1" ht="12">
      <c r="A36" s="154" t="s">
        <v>266</v>
      </c>
      <c r="B36" s="126" t="s">
        <v>267</v>
      </c>
      <c r="C36" s="127" t="s">
        <v>268</v>
      </c>
      <c r="D36" s="129" t="s">
        <v>269</v>
      </c>
      <c r="E36" s="129">
        <f>60/1000+0.06+0.05+0.1</f>
        <v>0.27</v>
      </c>
      <c r="F36" s="155">
        <v>81261.95</v>
      </c>
      <c r="G36" s="16">
        <f t="shared" si="0"/>
        <v>21940.73</v>
      </c>
      <c r="H36" s="156" t="s">
        <v>165</v>
      </c>
    </row>
    <row r="37" spans="1:8" s="156" customFormat="1" ht="24">
      <c r="A37" s="154" t="s">
        <v>270</v>
      </c>
      <c r="B37" s="126" t="s">
        <v>271</v>
      </c>
      <c r="C37" s="127" t="s">
        <v>272</v>
      </c>
      <c r="D37" s="129" t="s">
        <v>273</v>
      </c>
      <c r="E37" s="129">
        <f>32*13</f>
        <v>416</v>
      </c>
      <c r="F37" s="155">
        <v>52.66</v>
      </c>
      <c r="G37" s="16">
        <f t="shared" si="0"/>
        <v>21906.560000000001</v>
      </c>
      <c r="H37" s="156" t="s">
        <v>165</v>
      </c>
    </row>
    <row r="38" spans="1:8" s="151" customFormat="1" ht="24">
      <c r="A38" s="154" t="s">
        <v>274</v>
      </c>
      <c r="B38" s="152" t="s">
        <v>275</v>
      </c>
      <c r="C38" s="9" t="s">
        <v>276</v>
      </c>
      <c r="D38" s="13" t="s">
        <v>224</v>
      </c>
      <c r="E38" s="13">
        <v>16</v>
      </c>
      <c r="F38" s="153">
        <v>255.83</v>
      </c>
      <c r="G38" s="16">
        <f t="shared" si="0"/>
        <v>4093.28</v>
      </c>
      <c r="H38" s="156" t="s">
        <v>165</v>
      </c>
    </row>
    <row r="39" spans="1:8">
      <c r="A39" s="154" t="s">
        <v>277</v>
      </c>
      <c r="B39" s="157" t="s">
        <v>278</v>
      </c>
      <c r="C39" s="9" t="s">
        <v>279</v>
      </c>
      <c r="D39" s="153" t="s">
        <v>273</v>
      </c>
      <c r="E39" s="158">
        <v>1</v>
      </c>
      <c r="F39" s="14">
        <v>550</v>
      </c>
      <c r="G39" s="14">
        <f t="shared" si="0"/>
        <v>550</v>
      </c>
      <c r="H39" s="156" t="s">
        <v>165</v>
      </c>
    </row>
    <row r="40" spans="1:8">
      <c r="A40" s="154" t="s">
        <v>280</v>
      </c>
      <c r="B40" s="157" t="s">
        <v>278</v>
      </c>
      <c r="C40" s="9" t="s">
        <v>281</v>
      </c>
      <c r="D40" s="153" t="s">
        <v>273</v>
      </c>
      <c r="E40" s="158">
        <v>1</v>
      </c>
      <c r="F40" s="14">
        <v>900</v>
      </c>
      <c r="G40" s="14">
        <f t="shared" si="0"/>
        <v>900</v>
      </c>
      <c r="H40" s="156" t="s">
        <v>165</v>
      </c>
    </row>
    <row r="41" spans="1:8">
      <c r="A41" s="154" t="s">
        <v>282</v>
      </c>
      <c r="B41" s="157" t="s">
        <v>278</v>
      </c>
      <c r="C41" s="9" t="s">
        <v>283</v>
      </c>
      <c r="D41" s="153" t="s">
        <v>273</v>
      </c>
      <c r="E41" s="158">
        <v>1</v>
      </c>
      <c r="F41" s="14">
        <v>850</v>
      </c>
      <c r="G41" s="14">
        <f t="shared" si="0"/>
        <v>850</v>
      </c>
      <c r="H41" s="156" t="s">
        <v>165</v>
      </c>
    </row>
    <row r="42" spans="1:8">
      <c r="A42" s="154" t="s">
        <v>284</v>
      </c>
      <c r="B42" s="157" t="s">
        <v>278</v>
      </c>
      <c r="C42" s="9" t="s">
        <v>285</v>
      </c>
      <c r="D42" s="153" t="s">
        <v>273</v>
      </c>
      <c r="E42" s="158">
        <v>1</v>
      </c>
      <c r="F42" s="14">
        <v>2900</v>
      </c>
      <c r="G42" s="14">
        <f t="shared" si="0"/>
        <v>2900</v>
      </c>
      <c r="H42" s="156" t="s">
        <v>165</v>
      </c>
    </row>
    <row r="43" spans="1:8">
      <c r="A43" s="154" t="s">
        <v>286</v>
      </c>
      <c r="B43" s="157" t="s">
        <v>278</v>
      </c>
      <c r="C43" s="9" t="s">
        <v>287</v>
      </c>
      <c r="D43" s="153" t="s">
        <v>273</v>
      </c>
      <c r="E43" s="158">
        <v>2</v>
      </c>
      <c r="F43" s="14">
        <v>1500</v>
      </c>
      <c r="G43" s="14">
        <f t="shared" si="0"/>
        <v>3000</v>
      </c>
      <c r="H43" s="156" t="s">
        <v>165</v>
      </c>
    </row>
    <row r="44" spans="1:8">
      <c r="A44" s="154" t="s">
        <v>288</v>
      </c>
      <c r="B44" s="157" t="s">
        <v>278</v>
      </c>
      <c r="C44" s="9" t="s">
        <v>289</v>
      </c>
      <c r="D44" s="153" t="s">
        <v>273</v>
      </c>
      <c r="E44" s="158">
        <v>1</v>
      </c>
      <c r="F44" s="14">
        <v>15</v>
      </c>
      <c r="G44" s="14">
        <f t="shared" si="0"/>
        <v>15</v>
      </c>
      <c r="H44" s="156" t="s">
        <v>165</v>
      </c>
    </row>
    <row r="45" spans="1:8">
      <c r="A45" s="154" t="s">
        <v>290</v>
      </c>
      <c r="B45" s="157" t="s">
        <v>278</v>
      </c>
      <c r="C45" s="9" t="s">
        <v>291</v>
      </c>
      <c r="D45" s="153" t="s">
        <v>292</v>
      </c>
      <c r="E45" s="158">
        <v>10</v>
      </c>
      <c r="F45" s="14">
        <v>74</v>
      </c>
      <c r="G45" s="14">
        <f t="shared" si="0"/>
        <v>740</v>
      </c>
      <c r="H45" s="156" t="s">
        <v>165</v>
      </c>
    </row>
    <row r="46" spans="1:8">
      <c r="A46" s="154" t="s">
        <v>293</v>
      </c>
      <c r="B46" s="157" t="s">
        <v>278</v>
      </c>
      <c r="C46" s="9" t="s">
        <v>294</v>
      </c>
      <c r="D46" s="153" t="s">
        <v>273</v>
      </c>
      <c r="E46" s="158">
        <v>5</v>
      </c>
      <c r="F46" s="14">
        <v>170</v>
      </c>
      <c r="G46" s="14">
        <f t="shared" si="0"/>
        <v>850</v>
      </c>
      <c r="H46" s="156" t="s">
        <v>165</v>
      </c>
    </row>
    <row r="47" spans="1:8">
      <c r="A47" s="154" t="s">
        <v>295</v>
      </c>
      <c r="B47" s="157" t="s">
        <v>278</v>
      </c>
      <c r="C47" s="9" t="s">
        <v>296</v>
      </c>
      <c r="D47" s="153" t="s">
        <v>273</v>
      </c>
      <c r="E47" s="158">
        <v>5</v>
      </c>
      <c r="F47" s="14">
        <v>180</v>
      </c>
      <c r="G47" s="14">
        <f t="shared" si="0"/>
        <v>900</v>
      </c>
      <c r="H47" s="156" t="s">
        <v>165</v>
      </c>
    </row>
    <row r="48" spans="1:8">
      <c r="A48" s="154" t="s">
        <v>297</v>
      </c>
      <c r="B48" s="157" t="s">
        <v>278</v>
      </c>
      <c r="C48" s="9" t="s">
        <v>298</v>
      </c>
      <c r="D48" s="153" t="s">
        <v>292</v>
      </c>
      <c r="E48" s="158">
        <v>15</v>
      </c>
      <c r="F48" s="14">
        <v>73</v>
      </c>
      <c r="G48" s="14">
        <f t="shared" si="0"/>
        <v>1095</v>
      </c>
      <c r="H48" s="156" t="s">
        <v>165</v>
      </c>
    </row>
    <row r="49" spans="1:8">
      <c r="A49" s="154" t="s">
        <v>299</v>
      </c>
      <c r="B49" s="157" t="s">
        <v>278</v>
      </c>
      <c r="C49" s="9" t="s">
        <v>300</v>
      </c>
      <c r="D49" s="153" t="s">
        <v>292</v>
      </c>
      <c r="E49" s="158">
        <v>15</v>
      </c>
      <c r="F49" s="14">
        <v>10</v>
      </c>
      <c r="G49" s="14">
        <f t="shared" si="0"/>
        <v>150</v>
      </c>
      <c r="H49" s="156" t="s">
        <v>165</v>
      </c>
    </row>
    <row r="50" spans="1:8">
      <c r="A50" s="154" t="s">
        <v>301</v>
      </c>
      <c r="B50" s="157" t="s">
        <v>278</v>
      </c>
      <c r="C50" s="9" t="s">
        <v>298</v>
      </c>
      <c r="D50" s="153" t="s">
        <v>292</v>
      </c>
      <c r="E50" s="158">
        <v>100</v>
      </c>
      <c r="F50" s="14">
        <v>40</v>
      </c>
      <c r="G50" s="14">
        <f t="shared" si="0"/>
        <v>4000</v>
      </c>
      <c r="H50" s="156" t="s">
        <v>165</v>
      </c>
    </row>
    <row r="51" spans="1:8">
      <c r="A51" s="154" t="s">
        <v>302</v>
      </c>
      <c r="B51" s="157" t="s">
        <v>278</v>
      </c>
      <c r="C51" s="9" t="s">
        <v>303</v>
      </c>
      <c r="D51" s="153" t="s">
        <v>273</v>
      </c>
      <c r="E51" s="158">
        <v>30</v>
      </c>
      <c r="F51" s="14">
        <v>86.14</v>
      </c>
      <c r="G51" s="14">
        <f t="shared" si="0"/>
        <v>2584.1999999999998</v>
      </c>
      <c r="H51" s="156" t="s">
        <v>165</v>
      </c>
    </row>
    <row r="52" spans="1:8">
      <c r="A52" s="154" t="s">
        <v>304</v>
      </c>
      <c r="B52" s="157" t="s">
        <v>278</v>
      </c>
      <c r="C52" s="9" t="s">
        <v>305</v>
      </c>
      <c r="D52" s="153" t="s">
        <v>273</v>
      </c>
      <c r="E52" s="158">
        <v>30</v>
      </c>
      <c r="F52" s="14">
        <v>158.69999999999999</v>
      </c>
      <c r="G52" s="14">
        <f t="shared" si="0"/>
        <v>4761</v>
      </c>
      <c r="H52" s="156" t="s">
        <v>165</v>
      </c>
    </row>
    <row r="53" spans="1:8">
      <c r="A53" s="154" t="s">
        <v>306</v>
      </c>
      <c r="B53" s="157" t="s">
        <v>278</v>
      </c>
      <c r="C53" s="9" t="s">
        <v>307</v>
      </c>
      <c r="D53" s="153" t="s">
        <v>273</v>
      </c>
      <c r="E53" s="158">
        <v>100</v>
      </c>
      <c r="F53" s="14">
        <v>373.55</v>
      </c>
      <c r="G53" s="14">
        <f t="shared" si="0"/>
        <v>37355</v>
      </c>
      <c r="H53" s="156" t="s">
        <v>165</v>
      </c>
    </row>
    <row r="54" spans="1:8" s="117" customFormat="1">
      <c r="A54" s="118"/>
      <c r="B54" s="119"/>
      <c r="C54" s="120" t="s">
        <v>167</v>
      </c>
      <c r="D54" s="121"/>
      <c r="E54" s="122"/>
      <c r="F54" s="123"/>
      <c r="G54" s="124">
        <f>SUM(G23:G53)</f>
        <v>274335.48</v>
      </c>
    </row>
    <row r="55" spans="1:8" s="156" customFormat="1" ht="12">
      <c r="A55" s="154"/>
      <c r="B55" s="126" t="s">
        <v>226</v>
      </c>
      <c r="C55" s="127" t="s">
        <v>227</v>
      </c>
      <c r="D55" s="129" t="s">
        <v>228</v>
      </c>
      <c r="E55" s="129">
        <f>0.27+0.07+0.57</f>
        <v>0.91</v>
      </c>
      <c r="F55" s="155">
        <v>1517.86</v>
      </c>
      <c r="G55" s="16">
        <f t="shared" ref="G55:G77" si="1">E55*F55</f>
        <v>1381.25</v>
      </c>
      <c r="H55" s="156" t="s">
        <v>313</v>
      </c>
    </row>
    <row r="56" spans="1:8" s="156" customFormat="1" ht="24">
      <c r="A56" s="154"/>
      <c r="B56" s="126" t="s">
        <v>230</v>
      </c>
      <c r="C56" s="127" t="s">
        <v>231</v>
      </c>
      <c r="D56" s="129" t="s">
        <v>228</v>
      </c>
      <c r="E56" s="129">
        <v>0.12</v>
      </c>
      <c r="F56" s="155">
        <v>2971.45</v>
      </c>
      <c r="G56" s="16">
        <f t="shared" si="1"/>
        <v>356.57</v>
      </c>
      <c r="H56" s="156" t="s">
        <v>313</v>
      </c>
    </row>
    <row r="57" spans="1:8" s="156" customFormat="1" ht="12">
      <c r="A57" s="154"/>
      <c r="B57" s="126" t="s">
        <v>233</v>
      </c>
      <c r="C57" s="127" t="s">
        <v>234</v>
      </c>
      <c r="D57" s="129" t="s">
        <v>228</v>
      </c>
      <c r="E57" s="129">
        <v>0.02</v>
      </c>
      <c r="F57" s="155">
        <v>69829.78</v>
      </c>
      <c r="G57" s="16">
        <f t="shared" si="1"/>
        <v>1396.6</v>
      </c>
      <c r="H57" s="156" t="s">
        <v>313</v>
      </c>
    </row>
    <row r="58" spans="1:8" s="156" customFormat="1" ht="24">
      <c r="A58" s="154"/>
      <c r="B58" s="126" t="s">
        <v>251</v>
      </c>
      <c r="C58" s="127" t="s">
        <v>252</v>
      </c>
      <c r="D58" s="129" t="s">
        <v>253</v>
      </c>
      <c r="E58" s="129">
        <v>1</v>
      </c>
      <c r="F58" s="155">
        <v>398.2</v>
      </c>
      <c r="G58" s="16">
        <f t="shared" si="1"/>
        <v>398.2</v>
      </c>
      <c r="H58" s="156" t="s">
        <v>313</v>
      </c>
    </row>
    <row r="59" spans="1:8" s="156" customFormat="1" ht="24">
      <c r="A59" s="154"/>
      <c r="B59" s="126" t="s">
        <v>255</v>
      </c>
      <c r="C59" s="127" t="s">
        <v>256</v>
      </c>
      <c r="D59" s="129" t="s">
        <v>253</v>
      </c>
      <c r="E59" s="129">
        <v>3</v>
      </c>
      <c r="F59" s="155">
        <v>685.76</v>
      </c>
      <c r="G59" s="16">
        <f t="shared" si="1"/>
        <v>2057.2800000000002</v>
      </c>
      <c r="H59" s="156" t="s">
        <v>313</v>
      </c>
    </row>
    <row r="60" spans="1:8" s="156" customFormat="1" ht="36">
      <c r="A60" s="154"/>
      <c r="B60" s="126" t="s">
        <v>336</v>
      </c>
      <c r="C60" s="127" t="s">
        <v>337</v>
      </c>
      <c r="D60" s="129" t="s">
        <v>338</v>
      </c>
      <c r="E60" s="129">
        <v>2</v>
      </c>
      <c r="F60" s="155">
        <v>2108.88</v>
      </c>
      <c r="G60" s="16">
        <f t="shared" si="1"/>
        <v>4217.76</v>
      </c>
      <c r="H60" s="156" t="s">
        <v>313</v>
      </c>
    </row>
    <row r="61" spans="1:8" s="156" customFormat="1" ht="36">
      <c r="A61" s="154"/>
      <c r="B61" s="126" t="s">
        <v>339</v>
      </c>
      <c r="C61" s="127" t="s">
        <v>340</v>
      </c>
      <c r="D61" s="129" t="s">
        <v>253</v>
      </c>
      <c r="E61" s="129">
        <v>9</v>
      </c>
      <c r="F61" s="155">
        <v>2786.22</v>
      </c>
      <c r="G61" s="16">
        <f t="shared" si="1"/>
        <v>25075.98</v>
      </c>
      <c r="H61" s="156" t="s">
        <v>313</v>
      </c>
    </row>
    <row r="62" spans="1:8" s="156" customFormat="1" ht="36">
      <c r="A62" s="154"/>
      <c r="B62" s="126" t="s">
        <v>258</v>
      </c>
      <c r="C62" s="127" t="s">
        <v>259</v>
      </c>
      <c r="D62" s="129" t="s">
        <v>253</v>
      </c>
      <c r="E62" s="129">
        <v>6</v>
      </c>
      <c r="F62" s="155">
        <v>1020.87</v>
      </c>
      <c r="G62" s="16">
        <f t="shared" si="1"/>
        <v>6125.22</v>
      </c>
      <c r="H62" s="156" t="s">
        <v>313</v>
      </c>
    </row>
    <row r="63" spans="1:8" s="156" customFormat="1" ht="36">
      <c r="A63" s="154"/>
      <c r="B63" s="126" t="s">
        <v>261</v>
      </c>
      <c r="C63" s="127" t="s">
        <v>262</v>
      </c>
      <c r="D63" s="129" t="s">
        <v>253</v>
      </c>
      <c r="E63" s="129">
        <v>19</v>
      </c>
      <c r="F63" s="155">
        <v>1747.4</v>
      </c>
      <c r="G63" s="16">
        <f t="shared" si="1"/>
        <v>33200.6</v>
      </c>
      <c r="H63" s="156" t="s">
        <v>313</v>
      </c>
    </row>
    <row r="64" spans="1:8" s="156" customFormat="1" ht="36">
      <c r="A64" s="154"/>
      <c r="B64" s="126" t="s">
        <v>341</v>
      </c>
      <c r="C64" s="127" t="s">
        <v>342</v>
      </c>
      <c r="D64" s="129" t="s">
        <v>343</v>
      </c>
      <c r="E64" s="129">
        <v>1</v>
      </c>
      <c r="F64" s="155">
        <v>5248.5</v>
      </c>
      <c r="G64" s="16">
        <f t="shared" si="1"/>
        <v>5248.5</v>
      </c>
      <c r="H64" s="156" t="s">
        <v>313</v>
      </c>
    </row>
    <row r="65" spans="1:8" s="156" customFormat="1" ht="60">
      <c r="A65" s="154"/>
      <c r="B65" s="126" t="s">
        <v>344</v>
      </c>
      <c r="C65" s="127" t="s">
        <v>345</v>
      </c>
      <c r="D65" s="129" t="s">
        <v>343</v>
      </c>
      <c r="E65" s="129">
        <v>1</v>
      </c>
      <c r="F65" s="155">
        <v>1759.16</v>
      </c>
      <c r="G65" s="16">
        <f t="shared" si="1"/>
        <v>1759.16</v>
      </c>
      <c r="H65" s="156" t="s">
        <v>313</v>
      </c>
    </row>
    <row r="66" spans="1:8" s="156" customFormat="1" ht="36">
      <c r="A66" s="154"/>
      <c r="B66" s="126" t="s">
        <v>346</v>
      </c>
      <c r="C66" s="127" t="s">
        <v>347</v>
      </c>
      <c r="D66" s="129" t="s">
        <v>253</v>
      </c>
      <c r="E66" s="129">
        <v>3</v>
      </c>
      <c r="F66" s="155">
        <v>519.94000000000005</v>
      </c>
      <c r="G66" s="16">
        <f t="shared" si="1"/>
        <v>1559.82</v>
      </c>
      <c r="H66" s="156" t="s">
        <v>313</v>
      </c>
    </row>
    <row r="67" spans="1:8" s="156" customFormat="1" ht="48">
      <c r="A67" s="154"/>
      <c r="B67" s="126" t="s">
        <v>348</v>
      </c>
      <c r="C67" s="127" t="s">
        <v>349</v>
      </c>
      <c r="D67" s="129" t="s">
        <v>253</v>
      </c>
      <c r="E67" s="129">
        <v>2</v>
      </c>
      <c r="F67" s="155">
        <v>1108.55</v>
      </c>
      <c r="G67" s="16">
        <f t="shared" si="1"/>
        <v>2217.1</v>
      </c>
      <c r="H67" s="156" t="s">
        <v>313</v>
      </c>
    </row>
    <row r="68" spans="1:8" s="156" customFormat="1" ht="24">
      <c r="A68" s="154"/>
      <c r="B68" s="126" t="s">
        <v>264</v>
      </c>
      <c r="C68" s="127" t="s">
        <v>265</v>
      </c>
      <c r="D68" s="129" t="s">
        <v>228</v>
      </c>
      <c r="E68" s="129">
        <v>0.02</v>
      </c>
      <c r="F68" s="155">
        <v>204627.42</v>
      </c>
      <c r="G68" s="16">
        <f t="shared" si="1"/>
        <v>4092.55</v>
      </c>
      <c r="H68" s="156" t="s">
        <v>313</v>
      </c>
    </row>
    <row r="69" spans="1:8" s="156" customFormat="1" ht="24">
      <c r="A69" s="154"/>
      <c r="B69" s="126" t="s">
        <v>271</v>
      </c>
      <c r="C69" s="127" t="s">
        <v>272</v>
      </c>
      <c r="D69" s="129" t="s">
        <v>273</v>
      </c>
      <c r="E69" s="129">
        <f>32*2</f>
        <v>64</v>
      </c>
      <c r="F69" s="155">
        <v>52.66</v>
      </c>
      <c r="G69" s="16">
        <f t="shared" si="1"/>
        <v>3370.24</v>
      </c>
      <c r="H69" s="156" t="s">
        <v>313</v>
      </c>
    </row>
    <row r="70" spans="1:8" s="156" customFormat="1" ht="24">
      <c r="A70" s="154"/>
      <c r="B70" s="126" t="s">
        <v>350</v>
      </c>
      <c r="C70" s="127" t="s">
        <v>351</v>
      </c>
      <c r="D70" s="129" t="s">
        <v>352</v>
      </c>
      <c r="E70" s="129">
        <v>35</v>
      </c>
      <c r="F70" s="155">
        <v>1794.63</v>
      </c>
      <c r="G70" s="16">
        <f t="shared" si="1"/>
        <v>62812.05</v>
      </c>
      <c r="H70" s="156" t="s">
        <v>313</v>
      </c>
    </row>
    <row r="71" spans="1:8" s="151" customFormat="1" ht="24">
      <c r="A71" s="154"/>
      <c r="B71" s="152" t="s">
        <v>275</v>
      </c>
      <c r="C71" s="9" t="s">
        <v>276</v>
      </c>
      <c r="D71" s="13" t="s">
        <v>224</v>
      </c>
      <c r="E71" s="13">
        <v>16</v>
      </c>
      <c r="F71" s="153">
        <v>255.83</v>
      </c>
      <c r="G71" s="16">
        <f t="shared" si="1"/>
        <v>4093.28</v>
      </c>
      <c r="H71" s="156" t="s">
        <v>313</v>
      </c>
    </row>
    <row r="72" spans="1:8">
      <c r="A72" s="154"/>
      <c r="B72" s="157" t="s">
        <v>278</v>
      </c>
      <c r="C72" s="9" t="s">
        <v>298</v>
      </c>
      <c r="D72" s="153" t="s">
        <v>292</v>
      </c>
      <c r="E72" s="160">
        <v>100</v>
      </c>
      <c r="F72" s="14">
        <v>40</v>
      </c>
      <c r="G72" s="14">
        <f t="shared" si="1"/>
        <v>4000</v>
      </c>
      <c r="H72" s="156" t="s">
        <v>313</v>
      </c>
    </row>
    <row r="73" spans="1:8">
      <c r="A73" s="154"/>
      <c r="B73" s="157" t="s">
        <v>278</v>
      </c>
      <c r="C73" s="9" t="s">
        <v>353</v>
      </c>
      <c r="D73" s="153" t="s">
        <v>292</v>
      </c>
      <c r="E73" s="160">
        <v>100</v>
      </c>
      <c r="F73" s="14">
        <v>4.7300000000000004</v>
      </c>
      <c r="G73" s="14">
        <f t="shared" si="1"/>
        <v>473</v>
      </c>
      <c r="H73" s="156" t="s">
        <v>313</v>
      </c>
    </row>
    <row r="74" spans="1:8">
      <c r="A74" s="154"/>
      <c r="B74" s="157" t="s">
        <v>278</v>
      </c>
      <c r="C74" s="9" t="s">
        <v>354</v>
      </c>
      <c r="D74" s="153" t="s">
        <v>292</v>
      </c>
      <c r="E74" s="160">
        <v>200</v>
      </c>
      <c r="F74" s="14">
        <v>26.02</v>
      </c>
      <c r="G74" s="14">
        <f t="shared" si="1"/>
        <v>5204</v>
      </c>
      <c r="H74" s="156" t="s">
        <v>313</v>
      </c>
    </row>
    <row r="75" spans="1:8">
      <c r="A75" s="154"/>
      <c r="B75" s="157" t="s">
        <v>278</v>
      </c>
      <c r="C75" s="9" t="s">
        <v>355</v>
      </c>
      <c r="D75" s="153" t="s">
        <v>356</v>
      </c>
      <c r="E75" s="160">
        <v>5</v>
      </c>
      <c r="F75" s="14">
        <v>63.15</v>
      </c>
      <c r="G75" s="14">
        <f t="shared" si="1"/>
        <v>315.75</v>
      </c>
      <c r="H75" s="156" t="s">
        <v>313</v>
      </c>
    </row>
    <row r="76" spans="1:8">
      <c r="A76" s="154"/>
      <c r="B76" s="157" t="s">
        <v>278</v>
      </c>
      <c r="C76" s="9" t="s">
        <v>357</v>
      </c>
      <c r="D76" s="153" t="s">
        <v>273</v>
      </c>
      <c r="E76" s="160">
        <v>10</v>
      </c>
      <c r="F76" s="14">
        <v>69.37</v>
      </c>
      <c r="G76" s="14">
        <f t="shared" si="1"/>
        <v>693.7</v>
      </c>
      <c r="H76" s="156" t="s">
        <v>313</v>
      </c>
    </row>
    <row r="77" spans="1:8" ht="24">
      <c r="A77" s="154"/>
      <c r="B77" s="157" t="s">
        <v>278</v>
      </c>
      <c r="C77" s="9" t="s">
        <v>358</v>
      </c>
      <c r="D77" s="153" t="s">
        <v>273</v>
      </c>
      <c r="E77" s="160">
        <v>5</v>
      </c>
      <c r="F77" s="14">
        <v>186.2</v>
      </c>
      <c r="G77" s="14">
        <f t="shared" si="1"/>
        <v>931</v>
      </c>
      <c r="H77" s="156" t="s">
        <v>313</v>
      </c>
    </row>
    <row r="78" spans="1:8" s="117" customFormat="1">
      <c r="A78" s="118"/>
      <c r="B78" s="119"/>
      <c r="C78" s="120" t="s">
        <v>315</v>
      </c>
      <c r="D78" s="121"/>
      <c r="E78" s="122"/>
      <c r="F78" s="123"/>
      <c r="G78" s="124">
        <f>SUM(G55:G77)</f>
        <v>170979.61</v>
      </c>
    </row>
    <row r="79" spans="1:8" s="156" customFormat="1" ht="36">
      <c r="A79" s="154"/>
      <c r="B79" s="126" t="s">
        <v>336</v>
      </c>
      <c r="C79" s="127" t="s">
        <v>337</v>
      </c>
      <c r="D79" s="129" t="s">
        <v>338</v>
      </c>
      <c r="E79" s="129">
        <v>0.7</v>
      </c>
      <c r="F79" s="155">
        <v>2108.88</v>
      </c>
      <c r="G79" s="16">
        <f t="shared" ref="G79:G86" si="2">E79*F79</f>
        <v>1476.22</v>
      </c>
      <c r="H79" s="156" t="s">
        <v>371</v>
      </c>
    </row>
    <row r="80" spans="1:8" s="156" customFormat="1" ht="36">
      <c r="A80" s="154"/>
      <c r="B80" s="126" t="s">
        <v>339</v>
      </c>
      <c r="C80" s="127" t="s">
        <v>340</v>
      </c>
      <c r="D80" s="129" t="s">
        <v>253</v>
      </c>
      <c r="E80" s="129">
        <f>2+2+3</f>
        <v>7</v>
      </c>
      <c r="F80" s="155">
        <v>2786.22</v>
      </c>
      <c r="G80" s="16">
        <f t="shared" si="2"/>
        <v>19503.54</v>
      </c>
      <c r="H80" s="156" t="s">
        <v>371</v>
      </c>
    </row>
    <row r="81" spans="1:8" s="156" customFormat="1" ht="36">
      <c r="A81" s="154"/>
      <c r="B81" s="126" t="s">
        <v>261</v>
      </c>
      <c r="C81" s="127" t="s">
        <v>262</v>
      </c>
      <c r="D81" s="129" t="s">
        <v>253</v>
      </c>
      <c r="E81" s="129">
        <f>2+2+2+2+3</f>
        <v>11</v>
      </c>
      <c r="F81" s="155">
        <v>1747.4</v>
      </c>
      <c r="G81" s="16">
        <f t="shared" si="2"/>
        <v>19221.400000000001</v>
      </c>
      <c r="H81" s="156" t="s">
        <v>371</v>
      </c>
    </row>
    <row r="82" spans="1:8" s="156" customFormat="1" ht="24">
      <c r="A82" s="154"/>
      <c r="B82" s="126" t="s">
        <v>264</v>
      </c>
      <c r="C82" s="127" t="s">
        <v>265</v>
      </c>
      <c r="D82" s="129" t="s">
        <v>228</v>
      </c>
      <c r="E82" s="129">
        <f>0.04</f>
        <v>0.04</v>
      </c>
      <c r="F82" s="155">
        <v>204627.42</v>
      </c>
      <c r="G82" s="16">
        <f t="shared" si="2"/>
        <v>8185.1</v>
      </c>
      <c r="H82" s="156" t="s">
        <v>371</v>
      </c>
    </row>
    <row r="83" spans="1:8" s="156" customFormat="1" ht="12">
      <c r="A83" s="154" t="s">
        <v>266</v>
      </c>
      <c r="B83" s="126" t="s">
        <v>267</v>
      </c>
      <c r="C83" s="127" t="s">
        <v>268</v>
      </c>
      <c r="D83" s="129" t="s">
        <v>269</v>
      </c>
      <c r="E83" s="129">
        <f>0.13+0.02+0.08+0.05+0.03+0.03</f>
        <v>0.34</v>
      </c>
      <c r="F83" s="155">
        <v>81261.95</v>
      </c>
      <c r="G83" s="16">
        <f t="shared" si="2"/>
        <v>27629.06</v>
      </c>
      <c r="H83" s="156" t="s">
        <v>371</v>
      </c>
    </row>
    <row r="84" spans="1:8" s="156" customFormat="1" ht="24">
      <c r="A84" s="154"/>
      <c r="B84" s="126" t="s">
        <v>271</v>
      </c>
      <c r="C84" s="127" t="s">
        <v>272</v>
      </c>
      <c r="D84" s="129" t="s">
        <v>273</v>
      </c>
      <c r="E84" s="129">
        <v>68</v>
      </c>
      <c r="F84" s="155">
        <v>52.66</v>
      </c>
      <c r="G84" s="16">
        <f t="shared" si="2"/>
        <v>3580.88</v>
      </c>
      <c r="H84" s="156" t="s">
        <v>371</v>
      </c>
    </row>
    <row r="85" spans="1:8" s="156" customFormat="1" ht="24">
      <c r="A85" s="154"/>
      <c r="B85" s="126" t="s">
        <v>350</v>
      </c>
      <c r="C85" s="127" t="s">
        <v>351</v>
      </c>
      <c r="D85" s="129" t="s">
        <v>352</v>
      </c>
      <c r="E85" s="129">
        <v>28</v>
      </c>
      <c r="F85" s="155">
        <v>1794.63</v>
      </c>
      <c r="G85" s="16">
        <f t="shared" si="2"/>
        <v>50249.64</v>
      </c>
      <c r="H85" s="156" t="s">
        <v>371</v>
      </c>
    </row>
    <row r="86" spans="1:8" s="151" customFormat="1" ht="24">
      <c r="A86" s="154"/>
      <c r="B86" s="152" t="s">
        <v>275</v>
      </c>
      <c r="C86" s="9" t="s">
        <v>276</v>
      </c>
      <c r="D86" s="13" t="s">
        <v>224</v>
      </c>
      <c r="E86" s="13">
        <f>7*8</f>
        <v>56</v>
      </c>
      <c r="F86" s="153">
        <v>255.83</v>
      </c>
      <c r="G86" s="16">
        <f t="shared" si="2"/>
        <v>14326.48</v>
      </c>
      <c r="H86" s="156" t="s">
        <v>371</v>
      </c>
    </row>
    <row r="87" spans="1:8" s="117" customFormat="1">
      <c r="A87" s="118"/>
      <c r="B87" s="119"/>
      <c r="C87" s="120" t="s">
        <v>372</v>
      </c>
      <c r="D87" s="121"/>
      <c r="E87" s="122"/>
      <c r="F87" s="123"/>
      <c r="G87" s="124">
        <f>SUM(G79:G86)</f>
        <v>144172.32</v>
      </c>
    </row>
    <row r="88" spans="1:8" s="194" customFormat="1" ht="12">
      <c r="A88" s="183">
        <v>1</v>
      </c>
      <c r="B88" s="191" t="s">
        <v>226</v>
      </c>
      <c r="C88" s="178" t="s">
        <v>227</v>
      </c>
      <c r="D88" s="192" t="s">
        <v>228</v>
      </c>
      <c r="E88" s="192">
        <f>0.27+0.03</f>
        <v>0.3</v>
      </c>
      <c r="F88" s="193">
        <v>1517.86</v>
      </c>
      <c r="G88" s="114">
        <f t="shared" ref="G88:G146" si="3">E88*F88</f>
        <v>455.36</v>
      </c>
      <c r="H88" s="194" t="s">
        <v>400</v>
      </c>
    </row>
    <row r="89" spans="1:8" s="194" customFormat="1" ht="12">
      <c r="A89" s="183">
        <v>2</v>
      </c>
      <c r="B89" s="191" t="s">
        <v>230</v>
      </c>
      <c r="C89" s="178" t="s">
        <v>423</v>
      </c>
      <c r="D89" s="192" t="s">
        <v>228</v>
      </c>
      <c r="E89" s="192">
        <f>0.1+0.06</f>
        <v>0.16</v>
      </c>
      <c r="F89" s="193">
        <v>2971.45</v>
      </c>
      <c r="G89" s="114">
        <f t="shared" si="3"/>
        <v>475.43</v>
      </c>
      <c r="H89" s="194" t="s">
        <v>400</v>
      </c>
    </row>
    <row r="90" spans="1:8" s="194" customFormat="1" ht="12">
      <c r="A90" s="183">
        <v>3</v>
      </c>
      <c r="B90" s="191" t="s">
        <v>236</v>
      </c>
      <c r="C90" s="178" t="s">
        <v>237</v>
      </c>
      <c r="D90" s="192" t="s">
        <v>228</v>
      </c>
      <c r="E90" s="192">
        <f>0.01+0.01</f>
        <v>0.02</v>
      </c>
      <c r="F90" s="193">
        <v>19579.490000000002</v>
      </c>
      <c r="G90" s="114">
        <f t="shared" si="3"/>
        <v>391.59</v>
      </c>
      <c r="H90" s="194" t="s">
        <v>400</v>
      </c>
    </row>
    <row r="91" spans="1:8" s="194" customFormat="1" ht="24">
      <c r="A91" s="183">
        <v>4</v>
      </c>
      <c r="B91" s="191" t="s">
        <v>424</v>
      </c>
      <c r="C91" s="178" t="s">
        <v>425</v>
      </c>
      <c r="D91" s="192" t="s">
        <v>228</v>
      </c>
      <c r="E91" s="192">
        <f>0.1+0.06+0.03+0.03</f>
        <v>0.22</v>
      </c>
      <c r="F91" s="193">
        <v>21487.77</v>
      </c>
      <c r="G91" s="114">
        <f t="shared" si="3"/>
        <v>4727.3100000000004</v>
      </c>
      <c r="H91" s="194" t="s">
        <v>400</v>
      </c>
    </row>
    <row r="92" spans="1:8" s="194" customFormat="1" ht="24">
      <c r="A92" s="183">
        <v>5</v>
      </c>
      <c r="B92" s="191" t="s">
        <v>242</v>
      </c>
      <c r="C92" s="178" t="s">
        <v>426</v>
      </c>
      <c r="D92" s="192" t="s">
        <v>228</v>
      </c>
      <c r="E92" s="192">
        <v>0.02</v>
      </c>
      <c r="F92" s="193">
        <v>21068.55</v>
      </c>
      <c r="G92" s="114">
        <f t="shared" si="3"/>
        <v>421.37</v>
      </c>
      <c r="H92" s="194" t="s">
        <v>400</v>
      </c>
    </row>
    <row r="93" spans="1:8" s="194" customFormat="1" ht="24">
      <c r="A93" s="183">
        <v>6</v>
      </c>
      <c r="B93" s="191" t="s">
        <v>248</v>
      </c>
      <c r="C93" s="178" t="s">
        <v>249</v>
      </c>
      <c r="D93" s="192" t="s">
        <v>228</v>
      </c>
      <c r="E93" s="192">
        <f>0.01</f>
        <v>0.01</v>
      </c>
      <c r="F93" s="193">
        <v>29093.69</v>
      </c>
      <c r="G93" s="114">
        <f t="shared" si="3"/>
        <v>290.94</v>
      </c>
      <c r="H93" s="194" t="s">
        <v>400</v>
      </c>
    </row>
    <row r="94" spans="1:8" s="194" customFormat="1" ht="12">
      <c r="A94" s="183">
        <v>7</v>
      </c>
      <c r="B94" s="191" t="s">
        <v>427</v>
      </c>
      <c r="C94" s="178" t="s">
        <v>428</v>
      </c>
      <c r="D94" s="192" t="s">
        <v>228</v>
      </c>
      <c r="E94" s="192">
        <v>0.01</v>
      </c>
      <c r="F94" s="193">
        <v>116447.4</v>
      </c>
      <c r="G94" s="114">
        <f t="shared" si="3"/>
        <v>1164.47</v>
      </c>
      <c r="H94" s="194" t="s">
        <v>400</v>
      </c>
    </row>
    <row r="95" spans="1:8" s="194" customFormat="1" ht="36">
      <c r="A95" s="183">
        <v>8</v>
      </c>
      <c r="B95" s="191" t="s">
        <v>429</v>
      </c>
      <c r="C95" s="178" t="s">
        <v>430</v>
      </c>
      <c r="D95" s="192" t="s">
        <v>253</v>
      </c>
      <c r="E95" s="192">
        <f>1+1</f>
        <v>2</v>
      </c>
      <c r="F95" s="193">
        <v>308.3</v>
      </c>
      <c r="G95" s="114">
        <f t="shared" si="3"/>
        <v>616.6</v>
      </c>
      <c r="H95" s="194" t="s">
        <v>400</v>
      </c>
    </row>
    <row r="96" spans="1:8" s="194" customFormat="1" ht="36">
      <c r="A96" s="183">
        <v>9</v>
      </c>
      <c r="B96" s="191" t="s">
        <v>431</v>
      </c>
      <c r="C96" s="178" t="s">
        <v>432</v>
      </c>
      <c r="D96" s="192" t="s">
        <v>253</v>
      </c>
      <c r="E96" s="192">
        <f>1+1+1</f>
        <v>3</v>
      </c>
      <c r="F96" s="193">
        <v>444.28</v>
      </c>
      <c r="G96" s="114">
        <f t="shared" si="3"/>
        <v>1332.84</v>
      </c>
      <c r="H96" s="194" t="s">
        <v>400</v>
      </c>
    </row>
    <row r="97" spans="1:8" s="194" customFormat="1" ht="24">
      <c r="A97" s="183">
        <v>10</v>
      </c>
      <c r="B97" s="191" t="s">
        <v>251</v>
      </c>
      <c r="C97" s="178" t="s">
        <v>252</v>
      </c>
      <c r="D97" s="192" t="s">
        <v>253</v>
      </c>
      <c r="E97" s="192">
        <v>1</v>
      </c>
      <c r="F97" s="193">
        <v>398.2</v>
      </c>
      <c r="G97" s="114">
        <f t="shared" si="3"/>
        <v>398.2</v>
      </c>
      <c r="H97" s="194" t="s">
        <v>400</v>
      </c>
    </row>
    <row r="98" spans="1:8" s="194" customFormat="1" ht="24">
      <c r="A98" s="183">
        <v>11</v>
      </c>
      <c r="B98" s="191" t="s">
        <v>255</v>
      </c>
      <c r="C98" s="178" t="s">
        <v>256</v>
      </c>
      <c r="D98" s="192" t="s">
        <v>253</v>
      </c>
      <c r="E98" s="192">
        <f>1+1</f>
        <v>2</v>
      </c>
      <c r="F98" s="193">
        <v>685.76</v>
      </c>
      <c r="G98" s="114">
        <f t="shared" si="3"/>
        <v>1371.52</v>
      </c>
      <c r="H98" s="194" t="s">
        <v>400</v>
      </c>
    </row>
    <row r="99" spans="1:8" s="194" customFormat="1" ht="36">
      <c r="A99" s="183">
        <v>12</v>
      </c>
      <c r="B99" s="191" t="s">
        <v>339</v>
      </c>
      <c r="C99" s="178" t="s">
        <v>340</v>
      </c>
      <c r="D99" s="192" t="s">
        <v>253</v>
      </c>
      <c r="E99" s="192">
        <v>0.03</v>
      </c>
      <c r="F99" s="193">
        <v>2786.22</v>
      </c>
      <c r="G99" s="114">
        <f t="shared" si="3"/>
        <v>83.59</v>
      </c>
      <c r="H99" s="194" t="s">
        <v>400</v>
      </c>
    </row>
    <row r="100" spans="1:8" s="194" customFormat="1" ht="24">
      <c r="A100" s="183">
        <v>13</v>
      </c>
      <c r="B100" s="191" t="s">
        <v>264</v>
      </c>
      <c r="C100" s="178" t="s">
        <v>433</v>
      </c>
      <c r="D100" s="192" t="s">
        <v>228</v>
      </c>
      <c r="E100" s="192">
        <v>0.01</v>
      </c>
      <c r="F100" s="193">
        <v>204627.42</v>
      </c>
      <c r="G100" s="114">
        <f t="shared" si="3"/>
        <v>2046.27</v>
      </c>
      <c r="H100" s="194" t="s">
        <v>400</v>
      </c>
    </row>
    <row r="101" spans="1:8" s="194" customFormat="1" ht="36">
      <c r="A101" s="183">
        <v>14</v>
      </c>
      <c r="B101" s="191" t="s">
        <v>434</v>
      </c>
      <c r="C101" s="178" t="s">
        <v>435</v>
      </c>
      <c r="D101" s="192" t="s">
        <v>436</v>
      </c>
      <c r="E101" s="192">
        <f>2+3</f>
        <v>5</v>
      </c>
      <c r="F101" s="193">
        <v>1286.32</v>
      </c>
      <c r="G101" s="114">
        <f t="shared" si="3"/>
        <v>6431.6</v>
      </c>
      <c r="H101" s="194" t="s">
        <v>400</v>
      </c>
    </row>
    <row r="102" spans="1:8" s="194" customFormat="1" ht="24">
      <c r="A102" s="183">
        <v>15</v>
      </c>
      <c r="B102" s="191" t="s">
        <v>271</v>
      </c>
      <c r="C102" s="178" t="s">
        <v>437</v>
      </c>
      <c r="D102" s="192" t="s">
        <v>273</v>
      </c>
      <c r="E102" s="192">
        <v>32</v>
      </c>
      <c r="F102" s="193">
        <v>52.66</v>
      </c>
      <c r="G102" s="114">
        <f t="shared" si="3"/>
        <v>1685.12</v>
      </c>
      <c r="H102" s="194" t="s">
        <v>400</v>
      </c>
    </row>
    <row r="103" spans="1:8" s="194" customFormat="1" ht="36">
      <c r="A103" s="183">
        <v>16</v>
      </c>
      <c r="B103" s="191" t="s">
        <v>336</v>
      </c>
      <c r="C103" s="178" t="s">
        <v>337</v>
      </c>
      <c r="D103" s="192" t="s">
        <v>338</v>
      </c>
      <c r="E103" s="192">
        <f>0.25+0.12</f>
        <v>0.37</v>
      </c>
      <c r="F103" s="193">
        <v>2108.88</v>
      </c>
      <c r="G103" s="114">
        <f t="shared" si="3"/>
        <v>780.29</v>
      </c>
      <c r="H103" s="194" t="s">
        <v>400</v>
      </c>
    </row>
    <row r="104" spans="1:8" s="194" customFormat="1" ht="24">
      <c r="A104" s="183">
        <v>17</v>
      </c>
      <c r="B104" s="191" t="s">
        <v>350</v>
      </c>
      <c r="C104" s="178" t="s">
        <v>351</v>
      </c>
      <c r="D104" s="192" t="s">
        <v>352</v>
      </c>
      <c r="E104" s="192">
        <v>63</v>
      </c>
      <c r="F104" s="193">
        <v>1794.63</v>
      </c>
      <c r="G104" s="114">
        <f t="shared" si="3"/>
        <v>113061.69</v>
      </c>
      <c r="H104" s="194" t="s">
        <v>400</v>
      </c>
    </row>
    <row r="105" spans="1:8" s="168" customFormat="1" ht="48">
      <c r="A105" s="183">
        <v>18</v>
      </c>
      <c r="B105" s="110" t="s">
        <v>438</v>
      </c>
      <c r="C105" s="178" t="s">
        <v>439</v>
      </c>
      <c r="D105" s="192" t="s">
        <v>253</v>
      </c>
      <c r="E105" s="180">
        <v>1</v>
      </c>
      <c r="F105" s="112">
        <v>1168.74</v>
      </c>
      <c r="G105" s="114">
        <f t="shared" si="3"/>
        <v>1168.74</v>
      </c>
      <c r="H105" s="194" t="s">
        <v>400</v>
      </c>
    </row>
    <row r="106" spans="1:8" s="168" customFormat="1" ht="36">
      <c r="A106" s="183">
        <v>19</v>
      </c>
      <c r="B106" s="110" t="s">
        <v>440</v>
      </c>
      <c r="C106" s="178" t="s">
        <v>441</v>
      </c>
      <c r="D106" s="192" t="s">
        <v>253</v>
      </c>
      <c r="E106" s="180">
        <v>1</v>
      </c>
      <c r="F106" s="112">
        <v>814.83</v>
      </c>
      <c r="G106" s="114">
        <f t="shared" si="3"/>
        <v>814.83</v>
      </c>
      <c r="H106" s="194" t="s">
        <v>400</v>
      </c>
    </row>
    <row r="107" spans="1:8" s="182" customFormat="1" ht="24">
      <c r="A107" s="183">
        <v>20</v>
      </c>
      <c r="B107" s="189" t="s">
        <v>275</v>
      </c>
      <c r="C107" s="110" t="s">
        <v>276</v>
      </c>
      <c r="D107" s="111" t="s">
        <v>224</v>
      </c>
      <c r="E107" s="111">
        <f>16+8+4+2+4+8+4+8+2+2</f>
        <v>58</v>
      </c>
      <c r="F107" s="190">
        <v>255.83</v>
      </c>
      <c r="G107" s="114">
        <f t="shared" si="3"/>
        <v>14838.14</v>
      </c>
      <c r="H107" s="194" t="s">
        <v>400</v>
      </c>
    </row>
    <row r="108" spans="1:8" s="199" customFormat="1" ht="12">
      <c r="A108" s="183">
        <v>21</v>
      </c>
      <c r="B108" s="196" t="s">
        <v>278</v>
      </c>
      <c r="C108" s="110" t="s">
        <v>442</v>
      </c>
      <c r="D108" s="166" t="s">
        <v>273</v>
      </c>
      <c r="E108" s="197">
        <v>3</v>
      </c>
      <c r="F108" s="198">
        <v>170</v>
      </c>
      <c r="G108" s="114">
        <f t="shared" si="3"/>
        <v>510</v>
      </c>
      <c r="H108" s="194" t="s">
        <v>400</v>
      </c>
    </row>
    <row r="109" spans="1:8" s="199" customFormat="1" ht="12">
      <c r="A109" s="183">
        <v>22</v>
      </c>
      <c r="B109" s="196" t="s">
        <v>278</v>
      </c>
      <c r="C109" s="110" t="s">
        <v>443</v>
      </c>
      <c r="D109" s="166" t="s">
        <v>273</v>
      </c>
      <c r="E109" s="197">
        <v>3</v>
      </c>
      <c r="F109" s="198">
        <v>180</v>
      </c>
      <c r="G109" s="114">
        <f t="shared" si="3"/>
        <v>540</v>
      </c>
      <c r="H109" s="194" t="s">
        <v>400</v>
      </c>
    </row>
    <row r="110" spans="1:8" s="199" customFormat="1" ht="12">
      <c r="A110" s="183">
        <v>23</v>
      </c>
      <c r="B110" s="196" t="s">
        <v>278</v>
      </c>
      <c r="C110" s="110" t="s">
        <v>444</v>
      </c>
      <c r="D110" s="166" t="s">
        <v>273</v>
      </c>
      <c r="E110" s="197">
        <v>15</v>
      </c>
      <c r="F110" s="198">
        <v>140</v>
      </c>
      <c r="G110" s="114">
        <f t="shared" si="3"/>
        <v>2100</v>
      </c>
      <c r="H110" s="194" t="s">
        <v>400</v>
      </c>
    </row>
    <row r="111" spans="1:8" s="199" customFormat="1" ht="12">
      <c r="A111" s="183">
        <v>24</v>
      </c>
      <c r="B111" s="196" t="s">
        <v>278</v>
      </c>
      <c r="C111" s="110" t="s">
        <v>445</v>
      </c>
      <c r="D111" s="166" t="s">
        <v>273</v>
      </c>
      <c r="E111" s="197">
        <v>2</v>
      </c>
      <c r="F111" s="198">
        <v>45</v>
      </c>
      <c r="G111" s="114">
        <f t="shared" si="3"/>
        <v>90</v>
      </c>
      <c r="H111" s="194" t="s">
        <v>400</v>
      </c>
    </row>
    <row r="112" spans="1:8" s="199" customFormat="1" ht="12">
      <c r="A112" s="183">
        <v>25</v>
      </c>
      <c r="B112" s="196" t="s">
        <v>278</v>
      </c>
      <c r="C112" s="110" t="s">
        <v>446</v>
      </c>
      <c r="D112" s="166" t="s">
        <v>273</v>
      </c>
      <c r="E112" s="197">
        <v>40</v>
      </c>
      <c r="F112" s="198">
        <v>3</v>
      </c>
      <c r="G112" s="114">
        <f t="shared" si="3"/>
        <v>120</v>
      </c>
      <c r="H112" s="194" t="s">
        <v>400</v>
      </c>
    </row>
    <row r="113" spans="1:8" s="203" customFormat="1" ht="12">
      <c r="A113" s="183">
        <v>26</v>
      </c>
      <c r="B113" s="196" t="s">
        <v>278</v>
      </c>
      <c r="C113" s="200" t="s">
        <v>447</v>
      </c>
      <c r="D113" s="201" t="s">
        <v>273</v>
      </c>
      <c r="E113" s="201">
        <v>1</v>
      </c>
      <c r="F113" s="202">
        <v>630</v>
      </c>
      <c r="G113" s="114">
        <f t="shared" si="3"/>
        <v>630</v>
      </c>
      <c r="H113" s="194" t="s">
        <v>400</v>
      </c>
    </row>
    <row r="114" spans="1:8" s="204" customFormat="1" ht="12">
      <c r="A114" s="183">
        <v>27</v>
      </c>
      <c r="B114" s="196" t="s">
        <v>278</v>
      </c>
      <c r="C114" s="200" t="s">
        <v>442</v>
      </c>
      <c r="D114" s="201" t="s">
        <v>273</v>
      </c>
      <c r="E114" s="201">
        <v>1</v>
      </c>
      <c r="F114" s="202">
        <v>170</v>
      </c>
      <c r="G114" s="114">
        <f t="shared" si="3"/>
        <v>170</v>
      </c>
      <c r="H114" s="194" t="s">
        <v>400</v>
      </c>
    </row>
    <row r="115" spans="1:8" s="204" customFormat="1" ht="12">
      <c r="A115" s="183">
        <v>28</v>
      </c>
      <c r="B115" s="196" t="s">
        <v>278</v>
      </c>
      <c r="C115" s="200" t="s">
        <v>448</v>
      </c>
      <c r="D115" s="201" t="s">
        <v>273</v>
      </c>
      <c r="E115" s="201">
        <v>1</v>
      </c>
      <c r="F115" s="202">
        <v>65</v>
      </c>
      <c r="G115" s="114">
        <f t="shared" si="3"/>
        <v>65</v>
      </c>
      <c r="H115" s="194" t="s">
        <v>400</v>
      </c>
    </row>
    <row r="116" spans="1:8" s="204" customFormat="1" ht="12">
      <c r="A116" s="183">
        <v>29</v>
      </c>
      <c r="B116" s="196" t="s">
        <v>278</v>
      </c>
      <c r="C116" s="200" t="s">
        <v>443</v>
      </c>
      <c r="D116" s="201" t="s">
        <v>273</v>
      </c>
      <c r="E116" s="201">
        <v>1</v>
      </c>
      <c r="F116" s="202">
        <v>180</v>
      </c>
      <c r="G116" s="114">
        <f t="shared" si="3"/>
        <v>180</v>
      </c>
      <c r="H116" s="194" t="s">
        <v>400</v>
      </c>
    </row>
    <row r="117" spans="1:8" s="204" customFormat="1" ht="12">
      <c r="A117" s="183">
        <v>30</v>
      </c>
      <c r="B117" s="196" t="s">
        <v>278</v>
      </c>
      <c r="C117" s="200" t="s">
        <v>449</v>
      </c>
      <c r="D117" s="201" t="s">
        <v>273</v>
      </c>
      <c r="E117" s="201">
        <v>5</v>
      </c>
      <c r="F117" s="202">
        <v>500</v>
      </c>
      <c r="G117" s="114">
        <f t="shared" si="3"/>
        <v>2500</v>
      </c>
      <c r="H117" s="194" t="s">
        <v>400</v>
      </c>
    </row>
    <row r="118" spans="1:8" s="204" customFormat="1" ht="12">
      <c r="A118" s="183">
        <v>31</v>
      </c>
      <c r="B118" s="196" t="s">
        <v>278</v>
      </c>
      <c r="C118" s="200" t="s">
        <v>450</v>
      </c>
      <c r="D118" s="201" t="s">
        <v>273</v>
      </c>
      <c r="E118" s="201">
        <v>2</v>
      </c>
      <c r="F118" s="202">
        <v>65</v>
      </c>
      <c r="G118" s="114">
        <f t="shared" si="3"/>
        <v>130</v>
      </c>
      <c r="H118" s="194" t="s">
        <v>400</v>
      </c>
    </row>
    <row r="119" spans="1:8" s="204" customFormat="1" ht="12">
      <c r="A119" s="183">
        <v>32</v>
      </c>
      <c r="B119" s="196" t="s">
        <v>278</v>
      </c>
      <c r="C119" s="200" t="s">
        <v>451</v>
      </c>
      <c r="D119" s="201" t="s">
        <v>273</v>
      </c>
      <c r="E119" s="201">
        <v>1</v>
      </c>
      <c r="F119" s="202">
        <v>290</v>
      </c>
      <c r="G119" s="114">
        <f t="shared" si="3"/>
        <v>290</v>
      </c>
      <c r="H119" s="194" t="s">
        <v>400</v>
      </c>
    </row>
    <row r="120" spans="1:8" s="204" customFormat="1" ht="12">
      <c r="A120" s="183">
        <v>33</v>
      </c>
      <c r="B120" s="196" t="s">
        <v>278</v>
      </c>
      <c r="C120" s="200" t="s">
        <v>452</v>
      </c>
      <c r="D120" s="201" t="s">
        <v>273</v>
      </c>
      <c r="E120" s="201">
        <v>1</v>
      </c>
      <c r="F120" s="202">
        <v>140</v>
      </c>
      <c r="G120" s="114">
        <f t="shared" si="3"/>
        <v>140</v>
      </c>
      <c r="H120" s="194" t="s">
        <v>400</v>
      </c>
    </row>
    <row r="121" spans="1:8" s="204" customFormat="1" ht="12">
      <c r="A121" s="183">
        <v>34</v>
      </c>
      <c r="B121" s="196" t="s">
        <v>278</v>
      </c>
      <c r="C121" s="200" t="s">
        <v>453</v>
      </c>
      <c r="D121" s="201" t="s">
        <v>273</v>
      </c>
      <c r="E121" s="201">
        <v>1</v>
      </c>
      <c r="F121" s="202">
        <v>30</v>
      </c>
      <c r="G121" s="114">
        <f t="shared" si="3"/>
        <v>30</v>
      </c>
      <c r="H121" s="194" t="s">
        <v>400</v>
      </c>
    </row>
    <row r="122" spans="1:8" s="204" customFormat="1" ht="12">
      <c r="A122" s="183">
        <v>35</v>
      </c>
      <c r="B122" s="196" t="s">
        <v>278</v>
      </c>
      <c r="C122" s="200" t="s">
        <v>442</v>
      </c>
      <c r="D122" s="201" t="s">
        <v>273</v>
      </c>
      <c r="E122" s="201">
        <v>1</v>
      </c>
      <c r="F122" s="202">
        <v>170</v>
      </c>
      <c r="G122" s="114">
        <f t="shared" si="3"/>
        <v>170</v>
      </c>
      <c r="H122" s="194" t="s">
        <v>400</v>
      </c>
    </row>
    <row r="123" spans="1:8" s="204" customFormat="1" ht="12">
      <c r="A123" s="183">
        <v>36</v>
      </c>
      <c r="B123" s="196" t="s">
        <v>278</v>
      </c>
      <c r="C123" s="200" t="s">
        <v>443</v>
      </c>
      <c r="D123" s="201" t="s">
        <v>273</v>
      </c>
      <c r="E123" s="201">
        <v>1</v>
      </c>
      <c r="F123" s="202">
        <v>180</v>
      </c>
      <c r="G123" s="114">
        <f t="shared" si="3"/>
        <v>180</v>
      </c>
      <c r="H123" s="194" t="s">
        <v>400</v>
      </c>
    </row>
    <row r="124" spans="1:8" s="204" customFormat="1" ht="12">
      <c r="A124" s="183">
        <v>37</v>
      </c>
      <c r="B124" s="196" t="s">
        <v>278</v>
      </c>
      <c r="C124" s="200" t="s">
        <v>454</v>
      </c>
      <c r="D124" s="201" t="s">
        <v>273</v>
      </c>
      <c r="E124" s="201">
        <v>1</v>
      </c>
      <c r="F124" s="202">
        <v>1900</v>
      </c>
      <c r="G124" s="114">
        <f t="shared" si="3"/>
        <v>1900</v>
      </c>
      <c r="H124" s="194" t="s">
        <v>400</v>
      </c>
    </row>
    <row r="125" spans="1:8" s="204" customFormat="1" ht="12">
      <c r="A125" s="183">
        <v>38</v>
      </c>
      <c r="B125" s="196" t="s">
        <v>278</v>
      </c>
      <c r="C125" s="200" t="s">
        <v>455</v>
      </c>
      <c r="D125" s="201" t="s">
        <v>273</v>
      </c>
      <c r="E125" s="201">
        <v>1</v>
      </c>
      <c r="F125" s="202">
        <v>1150</v>
      </c>
      <c r="G125" s="114">
        <f t="shared" si="3"/>
        <v>1150</v>
      </c>
      <c r="H125" s="194" t="s">
        <v>400</v>
      </c>
    </row>
    <row r="126" spans="1:8" s="204" customFormat="1" ht="12">
      <c r="A126" s="183">
        <v>39</v>
      </c>
      <c r="B126" s="196" t="s">
        <v>278</v>
      </c>
      <c r="C126" s="200" t="s">
        <v>442</v>
      </c>
      <c r="D126" s="201" t="s">
        <v>273</v>
      </c>
      <c r="E126" s="201">
        <v>3</v>
      </c>
      <c r="F126" s="202">
        <v>170</v>
      </c>
      <c r="G126" s="114">
        <f t="shared" si="3"/>
        <v>510</v>
      </c>
      <c r="H126" s="194" t="s">
        <v>400</v>
      </c>
    </row>
    <row r="127" spans="1:8" s="209" customFormat="1" ht="15">
      <c r="A127" s="183">
        <v>40</v>
      </c>
      <c r="B127" s="196" t="s">
        <v>278</v>
      </c>
      <c r="C127" s="205" t="s">
        <v>456</v>
      </c>
      <c r="D127" s="206" t="s">
        <v>273</v>
      </c>
      <c r="E127" s="206">
        <v>1</v>
      </c>
      <c r="F127" s="207">
        <v>2900</v>
      </c>
      <c r="G127" s="208">
        <f t="shared" si="3"/>
        <v>2900</v>
      </c>
      <c r="H127" s="194" t="s">
        <v>400</v>
      </c>
    </row>
    <row r="128" spans="1:8" s="209" customFormat="1" ht="15">
      <c r="A128" s="183">
        <v>41</v>
      </c>
      <c r="B128" s="196" t="s">
        <v>278</v>
      </c>
      <c r="C128" s="205" t="s">
        <v>457</v>
      </c>
      <c r="D128" s="206" t="s">
        <v>273</v>
      </c>
      <c r="E128" s="206">
        <v>1</v>
      </c>
      <c r="F128" s="210">
        <v>200</v>
      </c>
      <c r="G128" s="208">
        <f t="shared" si="3"/>
        <v>200</v>
      </c>
      <c r="H128" s="194" t="s">
        <v>400</v>
      </c>
    </row>
    <row r="129" spans="1:8" s="209" customFormat="1" ht="15">
      <c r="A129" s="183">
        <v>42</v>
      </c>
      <c r="B129" s="196" t="s">
        <v>278</v>
      </c>
      <c r="C129" s="205" t="s">
        <v>458</v>
      </c>
      <c r="D129" s="206" t="s">
        <v>273</v>
      </c>
      <c r="E129" s="206">
        <v>20</v>
      </c>
      <c r="F129" s="210">
        <v>3</v>
      </c>
      <c r="G129" s="208">
        <f t="shared" si="3"/>
        <v>60</v>
      </c>
      <c r="H129" s="194" t="s">
        <v>400</v>
      </c>
    </row>
    <row r="130" spans="1:8" s="209" customFormat="1" ht="15">
      <c r="A130" s="183">
        <v>43</v>
      </c>
      <c r="B130" s="196" t="s">
        <v>278</v>
      </c>
      <c r="C130" s="205" t="s">
        <v>459</v>
      </c>
      <c r="D130" s="206" t="s">
        <v>273</v>
      </c>
      <c r="E130" s="206">
        <v>50</v>
      </c>
      <c r="F130" s="210">
        <v>10</v>
      </c>
      <c r="G130" s="208">
        <f t="shared" si="3"/>
        <v>500</v>
      </c>
      <c r="H130" s="194" t="s">
        <v>400</v>
      </c>
    </row>
    <row r="131" spans="1:8" s="209" customFormat="1" ht="15">
      <c r="A131" s="183">
        <v>44</v>
      </c>
      <c r="B131" s="196" t="s">
        <v>278</v>
      </c>
      <c r="C131" s="205" t="s">
        <v>460</v>
      </c>
      <c r="D131" s="206" t="s">
        <v>273</v>
      </c>
      <c r="E131" s="206">
        <v>2</v>
      </c>
      <c r="F131" s="210">
        <v>140</v>
      </c>
      <c r="G131" s="208">
        <f t="shared" si="3"/>
        <v>280</v>
      </c>
      <c r="H131" s="194" t="s">
        <v>400</v>
      </c>
    </row>
    <row r="132" spans="1:8" s="209" customFormat="1" ht="15">
      <c r="A132" s="183">
        <v>45</v>
      </c>
      <c r="B132" s="196" t="s">
        <v>278</v>
      </c>
      <c r="C132" s="205" t="s">
        <v>461</v>
      </c>
      <c r="D132" s="206" t="s">
        <v>273</v>
      </c>
      <c r="E132" s="206">
        <v>1</v>
      </c>
      <c r="F132" s="210">
        <v>65</v>
      </c>
      <c r="G132" s="208">
        <f t="shared" si="3"/>
        <v>65</v>
      </c>
      <c r="H132" s="194" t="s">
        <v>400</v>
      </c>
    </row>
    <row r="133" spans="1:8" s="209" customFormat="1" ht="15">
      <c r="A133" s="183">
        <v>46</v>
      </c>
      <c r="B133" s="196" t="s">
        <v>278</v>
      </c>
      <c r="C133" s="205" t="s">
        <v>462</v>
      </c>
      <c r="D133" s="206" t="s">
        <v>273</v>
      </c>
      <c r="E133" s="206">
        <v>1</v>
      </c>
      <c r="F133" s="210">
        <v>45</v>
      </c>
      <c r="G133" s="208">
        <f t="shared" si="3"/>
        <v>45</v>
      </c>
      <c r="H133" s="194" t="s">
        <v>400</v>
      </c>
    </row>
    <row r="134" spans="1:8" s="209" customFormat="1" ht="15">
      <c r="A134" s="183">
        <v>47</v>
      </c>
      <c r="B134" s="196" t="s">
        <v>278</v>
      </c>
      <c r="C134" s="205" t="s">
        <v>463</v>
      </c>
      <c r="D134" s="206" t="s">
        <v>273</v>
      </c>
      <c r="E134" s="206">
        <v>2</v>
      </c>
      <c r="F134" s="210">
        <v>15</v>
      </c>
      <c r="G134" s="208">
        <f t="shared" si="3"/>
        <v>30</v>
      </c>
      <c r="H134" s="194" t="s">
        <v>400</v>
      </c>
    </row>
    <row r="135" spans="1:8" s="209" customFormat="1" ht="15">
      <c r="A135" s="183">
        <v>48</v>
      </c>
      <c r="B135" s="196" t="s">
        <v>278</v>
      </c>
      <c r="C135" s="205" t="s">
        <v>464</v>
      </c>
      <c r="D135" s="206" t="s">
        <v>273</v>
      </c>
      <c r="E135" s="206">
        <v>1</v>
      </c>
      <c r="F135" s="207">
        <v>1400</v>
      </c>
      <c r="G135" s="208">
        <f t="shared" si="3"/>
        <v>1400</v>
      </c>
      <c r="H135" s="194" t="s">
        <v>400</v>
      </c>
    </row>
    <row r="136" spans="1:8" s="209" customFormat="1" ht="15">
      <c r="A136" s="183">
        <v>49</v>
      </c>
      <c r="B136" s="196" t="s">
        <v>278</v>
      </c>
      <c r="C136" s="205" t="s">
        <v>465</v>
      </c>
      <c r="D136" s="206" t="s">
        <v>273</v>
      </c>
      <c r="E136" s="206">
        <v>1</v>
      </c>
      <c r="F136" s="207">
        <v>2850</v>
      </c>
      <c r="G136" s="208">
        <f t="shared" si="3"/>
        <v>2850</v>
      </c>
      <c r="H136" s="194" t="s">
        <v>400</v>
      </c>
    </row>
    <row r="137" spans="1:8" s="209" customFormat="1" ht="15">
      <c r="A137" s="183">
        <v>50</v>
      </c>
      <c r="B137" s="196" t="s">
        <v>278</v>
      </c>
      <c r="C137" s="205" t="s">
        <v>466</v>
      </c>
      <c r="D137" s="206" t="s">
        <v>273</v>
      </c>
      <c r="E137" s="206">
        <v>1</v>
      </c>
      <c r="F137" s="207">
        <v>2900</v>
      </c>
      <c r="G137" s="208">
        <f t="shared" si="3"/>
        <v>2900</v>
      </c>
      <c r="H137" s="194" t="s">
        <v>400</v>
      </c>
    </row>
    <row r="138" spans="1:8" s="209" customFormat="1" ht="24">
      <c r="A138" s="183">
        <v>51</v>
      </c>
      <c r="B138" s="196" t="s">
        <v>278</v>
      </c>
      <c r="C138" s="205" t="s">
        <v>467</v>
      </c>
      <c r="D138" s="206" t="s">
        <v>273</v>
      </c>
      <c r="E138" s="206">
        <v>1</v>
      </c>
      <c r="F138" s="207">
        <v>2700</v>
      </c>
      <c r="G138" s="208">
        <f t="shared" si="3"/>
        <v>2700</v>
      </c>
      <c r="H138" s="194" t="s">
        <v>400</v>
      </c>
    </row>
    <row r="139" spans="1:8" s="209" customFormat="1" ht="15">
      <c r="A139" s="183">
        <v>52</v>
      </c>
      <c r="B139" s="196" t="s">
        <v>278</v>
      </c>
      <c r="C139" s="205" t="s">
        <v>468</v>
      </c>
      <c r="D139" s="206" t="s">
        <v>273</v>
      </c>
      <c r="E139" s="206">
        <v>1</v>
      </c>
      <c r="F139" s="210">
        <v>35</v>
      </c>
      <c r="G139" s="208">
        <f t="shared" si="3"/>
        <v>35</v>
      </c>
      <c r="H139" s="194" t="s">
        <v>400</v>
      </c>
    </row>
    <row r="140" spans="1:8" s="209" customFormat="1" ht="15">
      <c r="A140" s="183">
        <v>53</v>
      </c>
      <c r="B140" s="196" t="s">
        <v>278</v>
      </c>
      <c r="C140" s="205" t="s">
        <v>469</v>
      </c>
      <c r="D140" s="206" t="s">
        <v>273</v>
      </c>
      <c r="E140" s="206">
        <v>1</v>
      </c>
      <c r="F140" s="210">
        <v>140</v>
      </c>
      <c r="G140" s="208">
        <f t="shared" si="3"/>
        <v>140</v>
      </c>
      <c r="H140" s="194" t="s">
        <v>400</v>
      </c>
    </row>
    <row r="141" spans="1:8" s="209" customFormat="1" ht="15">
      <c r="A141" s="183">
        <v>54</v>
      </c>
      <c r="B141" s="196" t="s">
        <v>278</v>
      </c>
      <c r="C141" s="205" t="s">
        <v>470</v>
      </c>
      <c r="D141" s="206" t="s">
        <v>273</v>
      </c>
      <c r="E141" s="206">
        <v>1</v>
      </c>
      <c r="F141" s="210">
        <v>53</v>
      </c>
      <c r="G141" s="208">
        <f t="shared" si="3"/>
        <v>53</v>
      </c>
      <c r="H141" s="194" t="s">
        <v>400</v>
      </c>
    </row>
    <row r="142" spans="1:8" s="209" customFormat="1" ht="15">
      <c r="A142" s="183">
        <v>55</v>
      </c>
      <c r="B142" s="196" t="s">
        <v>278</v>
      </c>
      <c r="C142" s="205" t="s">
        <v>471</v>
      </c>
      <c r="D142" s="206" t="s">
        <v>273</v>
      </c>
      <c r="E142" s="206">
        <v>1</v>
      </c>
      <c r="F142" s="210">
        <v>200</v>
      </c>
      <c r="G142" s="208">
        <f t="shared" si="3"/>
        <v>200</v>
      </c>
      <c r="H142" s="194" t="s">
        <v>400</v>
      </c>
    </row>
    <row r="143" spans="1:8" s="209" customFormat="1" ht="15">
      <c r="A143" s="183">
        <v>56</v>
      </c>
      <c r="B143" s="196" t="s">
        <v>278</v>
      </c>
      <c r="C143" s="205" t="s">
        <v>472</v>
      </c>
      <c r="D143" s="206" t="s">
        <v>473</v>
      </c>
      <c r="E143" s="206">
        <v>2</v>
      </c>
      <c r="F143" s="211">
        <v>340</v>
      </c>
      <c r="G143" s="208">
        <f t="shared" si="3"/>
        <v>680</v>
      </c>
      <c r="H143" s="194" t="s">
        <v>400</v>
      </c>
    </row>
    <row r="144" spans="1:8" s="209" customFormat="1" ht="15">
      <c r="A144" s="183">
        <v>57</v>
      </c>
      <c r="B144" s="196" t="s">
        <v>278</v>
      </c>
      <c r="C144" s="205" t="s">
        <v>474</v>
      </c>
      <c r="D144" s="206" t="s">
        <v>273</v>
      </c>
      <c r="E144" s="206">
        <v>2</v>
      </c>
      <c r="F144" s="210">
        <v>380</v>
      </c>
      <c r="G144" s="208">
        <f t="shared" si="3"/>
        <v>760</v>
      </c>
      <c r="H144" s="194" t="s">
        <v>400</v>
      </c>
    </row>
    <row r="145" spans="1:8" s="209" customFormat="1" ht="15">
      <c r="A145" s="183">
        <v>58</v>
      </c>
      <c r="B145" s="196" t="s">
        <v>278</v>
      </c>
      <c r="C145" s="205" t="s">
        <v>475</v>
      </c>
      <c r="D145" s="206" t="s">
        <v>273</v>
      </c>
      <c r="E145" s="206">
        <v>2</v>
      </c>
      <c r="F145" s="210">
        <v>110</v>
      </c>
      <c r="G145" s="208">
        <f t="shared" si="3"/>
        <v>220</v>
      </c>
      <c r="H145" s="194" t="s">
        <v>400</v>
      </c>
    </row>
    <row r="146" spans="1:8" s="209" customFormat="1" ht="15">
      <c r="A146" s="183">
        <v>59</v>
      </c>
      <c r="B146" s="196" t="s">
        <v>278</v>
      </c>
      <c r="C146" s="205" t="s">
        <v>471</v>
      </c>
      <c r="D146" s="206" t="s">
        <v>273</v>
      </c>
      <c r="E146" s="212">
        <v>1</v>
      </c>
      <c r="F146" s="210">
        <v>200</v>
      </c>
      <c r="G146" s="208">
        <f t="shared" si="3"/>
        <v>200</v>
      </c>
      <c r="H146" s="194" t="s">
        <v>400</v>
      </c>
    </row>
    <row r="147" spans="1:8" s="176" customFormat="1">
      <c r="A147" s="169"/>
      <c r="B147" s="170"/>
      <c r="C147" s="171" t="s">
        <v>401</v>
      </c>
      <c r="D147" s="172"/>
      <c r="E147" s="173"/>
      <c r="F147" s="174"/>
      <c r="G147" s="175">
        <f>SUM(G88:G146)</f>
        <v>180178.9</v>
      </c>
    </row>
    <row r="148" spans="1:8" s="194" customFormat="1" ht="12">
      <c r="A148" s="183"/>
      <c r="B148" s="191" t="s">
        <v>226</v>
      </c>
      <c r="C148" s="178" t="s">
        <v>227</v>
      </c>
      <c r="D148" s="192" t="s">
        <v>228</v>
      </c>
      <c r="E148" s="192">
        <f>0.27</f>
        <v>0.27</v>
      </c>
      <c r="F148" s="193">
        <v>1517.86</v>
      </c>
      <c r="G148" s="114">
        <f t="shared" ref="G148:G175" si="4">E148*F148</f>
        <v>409.82</v>
      </c>
      <c r="H148" s="194" t="s">
        <v>476</v>
      </c>
    </row>
    <row r="149" spans="1:8" s="194" customFormat="1" ht="12">
      <c r="A149" s="183"/>
      <c r="B149" s="191" t="s">
        <v>230</v>
      </c>
      <c r="C149" s="178" t="s">
        <v>423</v>
      </c>
      <c r="D149" s="192" t="s">
        <v>228</v>
      </c>
      <c r="E149" s="192">
        <f>0.03+0.02+0.04</f>
        <v>0.09</v>
      </c>
      <c r="F149" s="193">
        <v>2971.45</v>
      </c>
      <c r="G149" s="114">
        <f t="shared" si="4"/>
        <v>267.43</v>
      </c>
      <c r="H149" s="194" t="s">
        <v>476</v>
      </c>
    </row>
    <row r="150" spans="1:8" s="194" customFormat="1" ht="12">
      <c r="A150" s="183"/>
      <c r="B150" s="191" t="s">
        <v>236</v>
      </c>
      <c r="C150" s="178" t="s">
        <v>237</v>
      </c>
      <c r="D150" s="192" t="s">
        <v>228</v>
      </c>
      <c r="E150" s="192">
        <f>0.01+0.01+0.01+0.01</f>
        <v>0.04</v>
      </c>
      <c r="F150" s="193">
        <v>19579.490000000002</v>
      </c>
      <c r="G150" s="114">
        <f t="shared" si="4"/>
        <v>783.18</v>
      </c>
      <c r="H150" s="194" t="s">
        <v>476</v>
      </c>
    </row>
    <row r="151" spans="1:8" s="194" customFormat="1" ht="24">
      <c r="A151" s="183"/>
      <c r="B151" s="191" t="s">
        <v>424</v>
      </c>
      <c r="C151" s="178" t="s">
        <v>425</v>
      </c>
      <c r="D151" s="192" t="s">
        <v>228</v>
      </c>
      <c r="E151" s="192">
        <f>0.03+0.02+0.04+0.04</f>
        <v>0.13</v>
      </c>
      <c r="F151" s="193">
        <v>21487.77</v>
      </c>
      <c r="G151" s="114">
        <f t="shared" si="4"/>
        <v>2793.41</v>
      </c>
      <c r="H151" s="194" t="s">
        <v>476</v>
      </c>
    </row>
    <row r="152" spans="1:8" s="194" customFormat="1" ht="24">
      <c r="A152" s="183"/>
      <c r="B152" s="191" t="s">
        <v>239</v>
      </c>
      <c r="C152" s="178" t="s">
        <v>240</v>
      </c>
      <c r="D152" s="192" t="s">
        <v>228</v>
      </c>
      <c r="E152" s="192">
        <f>0.02</f>
        <v>0.02</v>
      </c>
      <c r="F152" s="193">
        <v>39391.39</v>
      </c>
      <c r="G152" s="114">
        <f t="shared" si="4"/>
        <v>787.83</v>
      </c>
      <c r="H152" s="194" t="s">
        <v>476</v>
      </c>
    </row>
    <row r="153" spans="1:8" s="194" customFormat="1" ht="12">
      <c r="A153" s="183"/>
      <c r="B153" s="191" t="s">
        <v>242</v>
      </c>
      <c r="C153" s="178" t="s">
        <v>486</v>
      </c>
      <c r="D153" s="192" t="s">
        <v>228</v>
      </c>
      <c r="E153" s="192">
        <f>0.01</f>
        <v>0.01</v>
      </c>
      <c r="F153" s="193">
        <v>21068.55</v>
      </c>
      <c r="G153" s="114">
        <f t="shared" si="4"/>
        <v>210.69</v>
      </c>
      <c r="H153" s="194" t="s">
        <v>476</v>
      </c>
    </row>
    <row r="154" spans="1:8" s="194" customFormat="1" ht="24">
      <c r="A154" s="183"/>
      <c r="B154" s="191" t="s">
        <v>248</v>
      </c>
      <c r="C154" s="178" t="s">
        <v>249</v>
      </c>
      <c r="D154" s="192" t="s">
        <v>228</v>
      </c>
      <c r="E154" s="192">
        <f>0.32</f>
        <v>0.32</v>
      </c>
      <c r="F154" s="193">
        <v>29093.69</v>
      </c>
      <c r="G154" s="114">
        <f t="shared" si="4"/>
        <v>9309.98</v>
      </c>
      <c r="H154" s="194" t="s">
        <v>476</v>
      </c>
    </row>
    <row r="155" spans="1:8" s="194" customFormat="1" ht="24">
      <c r="A155" s="183"/>
      <c r="B155" s="191" t="s">
        <v>251</v>
      </c>
      <c r="C155" s="178" t="s">
        <v>252</v>
      </c>
      <c r="D155" s="192" t="s">
        <v>253</v>
      </c>
      <c r="E155" s="192">
        <v>1</v>
      </c>
      <c r="F155" s="193">
        <v>398.2</v>
      </c>
      <c r="G155" s="114">
        <f t="shared" si="4"/>
        <v>398.2</v>
      </c>
      <c r="H155" s="194" t="s">
        <v>476</v>
      </c>
    </row>
    <row r="156" spans="1:8" s="194" customFormat="1" ht="24">
      <c r="A156" s="183"/>
      <c r="B156" s="191" t="s">
        <v>255</v>
      </c>
      <c r="C156" s="178" t="s">
        <v>256</v>
      </c>
      <c r="D156" s="192" t="s">
        <v>253</v>
      </c>
      <c r="E156" s="192">
        <v>1</v>
      </c>
      <c r="F156" s="193">
        <v>685.76</v>
      </c>
      <c r="G156" s="114">
        <f t="shared" si="4"/>
        <v>685.76</v>
      </c>
      <c r="H156" s="194" t="s">
        <v>476</v>
      </c>
    </row>
    <row r="157" spans="1:8" s="194" customFormat="1" ht="36">
      <c r="A157" s="183"/>
      <c r="B157" s="191" t="s">
        <v>487</v>
      </c>
      <c r="C157" s="178" t="s">
        <v>337</v>
      </c>
      <c r="D157" s="192" t="s">
        <v>338</v>
      </c>
      <c r="E157" s="192">
        <f>0.15</f>
        <v>0.15</v>
      </c>
      <c r="F157" s="193">
        <v>3232.54</v>
      </c>
      <c r="G157" s="114">
        <f t="shared" si="4"/>
        <v>484.88</v>
      </c>
      <c r="H157" s="194" t="s">
        <v>476</v>
      </c>
    </row>
    <row r="158" spans="1:8" s="194" customFormat="1" ht="36">
      <c r="A158" s="183"/>
      <c r="B158" s="191" t="s">
        <v>339</v>
      </c>
      <c r="C158" s="178" t="s">
        <v>340</v>
      </c>
      <c r="D158" s="192" t="s">
        <v>253</v>
      </c>
      <c r="E158" s="192">
        <f>0.02</f>
        <v>0.02</v>
      </c>
      <c r="F158" s="193">
        <v>2786.22</v>
      </c>
      <c r="G158" s="114">
        <f t="shared" si="4"/>
        <v>55.72</v>
      </c>
      <c r="H158" s="194" t="s">
        <v>476</v>
      </c>
    </row>
    <row r="159" spans="1:8" s="194" customFormat="1" ht="36">
      <c r="A159" s="183">
        <v>40</v>
      </c>
      <c r="B159" s="191" t="s">
        <v>344</v>
      </c>
      <c r="C159" s="178" t="s">
        <v>488</v>
      </c>
      <c r="D159" s="192" t="s">
        <v>343</v>
      </c>
      <c r="E159" s="192">
        <v>0.5</v>
      </c>
      <c r="F159" s="193">
        <v>1759.16</v>
      </c>
      <c r="G159" s="114">
        <f t="shared" si="4"/>
        <v>879.58</v>
      </c>
      <c r="H159" s="194" t="s">
        <v>476</v>
      </c>
    </row>
    <row r="160" spans="1:8" s="194" customFormat="1" ht="36">
      <c r="A160" s="183"/>
      <c r="B160" s="191" t="s">
        <v>346</v>
      </c>
      <c r="C160" s="178" t="s">
        <v>347</v>
      </c>
      <c r="D160" s="192" t="s">
        <v>253</v>
      </c>
      <c r="E160" s="192">
        <v>2</v>
      </c>
      <c r="F160" s="193">
        <v>519.94000000000005</v>
      </c>
      <c r="G160" s="114">
        <f t="shared" si="4"/>
        <v>1039.8800000000001</v>
      </c>
      <c r="H160" s="194" t="s">
        <v>476</v>
      </c>
    </row>
    <row r="161" spans="1:8" s="194" customFormat="1" ht="36">
      <c r="A161" s="183"/>
      <c r="B161" s="191" t="s">
        <v>434</v>
      </c>
      <c r="C161" s="178" t="s">
        <v>435</v>
      </c>
      <c r="D161" s="192" t="s">
        <v>436</v>
      </c>
      <c r="E161" s="192">
        <f>2</f>
        <v>2</v>
      </c>
      <c r="F161" s="193">
        <v>1286.32</v>
      </c>
      <c r="G161" s="114">
        <f t="shared" si="4"/>
        <v>2572.64</v>
      </c>
      <c r="H161" s="194" t="s">
        <v>476</v>
      </c>
    </row>
    <row r="162" spans="1:8" s="194" customFormat="1" ht="24">
      <c r="A162" s="183"/>
      <c r="B162" s="191" t="s">
        <v>489</v>
      </c>
      <c r="C162" s="178" t="s">
        <v>490</v>
      </c>
      <c r="D162" s="192" t="s">
        <v>269</v>
      </c>
      <c r="E162" s="192">
        <v>0.12</v>
      </c>
      <c r="F162" s="193">
        <v>33354.32</v>
      </c>
      <c r="G162" s="114">
        <f t="shared" si="4"/>
        <v>4002.52</v>
      </c>
      <c r="H162" s="194" t="s">
        <v>476</v>
      </c>
    </row>
    <row r="163" spans="1:8" s="194" customFormat="1" ht="24">
      <c r="A163" s="183"/>
      <c r="B163" s="191" t="s">
        <v>271</v>
      </c>
      <c r="C163" s="178" t="s">
        <v>437</v>
      </c>
      <c r="D163" s="192" t="s">
        <v>273</v>
      </c>
      <c r="E163" s="192">
        <v>32</v>
      </c>
      <c r="F163" s="193">
        <v>52.66</v>
      </c>
      <c r="G163" s="114">
        <f t="shared" si="4"/>
        <v>1685.12</v>
      </c>
      <c r="H163" s="194" t="s">
        <v>476</v>
      </c>
    </row>
    <row r="164" spans="1:8" s="194" customFormat="1" ht="24">
      <c r="A164" s="183"/>
      <c r="B164" s="191" t="s">
        <v>350</v>
      </c>
      <c r="C164" s="178" t="s">
        <v>351</v>
      </c>
      <c r="D164" s="192" t="s">
        <v>352</v>
      </c>
      <c r="E164" s="192">
        <v>44</v>
      </c>
      <c r="F164" s="193">
        <v>1794.63</v>
      </c>
      <c r="G164" s="114">
        <f t="shared" si="4"/>
        <v>78963.72</v>
      </c>
      <c r="H164" s="194" t="s">
        <v>476</v>
      </c>
    </row>
    <row r="165" spans="1:8" s="168" customFormat="1" ht="48">
      <c r="A165" s="183"/>
      <c r="B165" s="110" t="s">
        <v>438</v>
      </c>
      <c r="C165" s="178" t="s">
        <v>491</v>
      </c>
      <c r="D165" s="192" t="s">
        <v>253</v>
      </c>
      <c r="E165" s="180">
        <f>1+1+1</f>
        <v>3</v>
      </c>
      <c r="F165" s="112">
        <v>1168.74</v>
      </c>
      <c r="G165" s="114">
        <f t="shared" si="4"/>
        <v>3506.22</v>
      </c>
      <c r="H165" s="194" t="s">
        <v>476</v>
      </c>
    </row>
    <row r="166" spans="1:8" s="168" customFormat="1" ht="36">
      <c r="A166" s="183"/>
      <c r="B166" s="110" t="s">
        <v>440</v>
      </c>
      <c r="C166" s="178" t="s">
        <v>441</v>
      </c>
      <c r="D166" s="192" t="s">
        <v>253</v>
      </c>
      <c r="E166" s="180">
        <f>1</f>
        <v>1</v>
      </c>
      <c r="F166" s="112">
        <v>814.83</v>
      </c>
      <c r="G166" s="114">
        <f t="shared" si="4"/>
        <v>814.83</v>
      </c>
      <c r="H166" s="194" t="s">
        <v>476</v>
      </c>
    </row>
    <row r="167" spans="1:8" s="182" customFormat="1" ht="24">
      <c r="A167" s="183"/>
      <c r="B167" s="189" t="s">
        <v>275</v>
      </c>
      <c r="C167" s="110" t="s">
        <v>276</v>
      </c>
      <c r="D167" s="111" t="s">
        <v>224</v>
      </c>
      <c r="E167" s="111">
        <f>4+3+2+8+4+8+2+8+2+2+4+4+8+8+8</f>
        <v>75</v>
      </c>
      <c r="F167" s="190">
        <v>255.83</v>
      </c>
      <c r="G167" s="114">
        <f t="shared" si="4"/>
        <v>19187.25</v>
      </c>
      <c r="H167" s="194" t="s">
        <v>476</v>
      </c>
    </row>
    <row r="168" spans="1:8" s="199" customFormat="1" ht="12">
      <c r="A168" s="183"/>
      <c r="B168" s="196" t="s">
        <v>278</v>
      </c>
      <c r="C168" s="110" t="s">
        <v>492</v>
      </c>
      <c r="D168" s="166" t="s">
        <v>273</v>
      </c>
      <c r="E168" s="197">
        <v>2</v>
      </c>
      <c r="F168" s="198">
        <v>864</v>
      </c>
      <c r="G168" s="114">
        <f t="shared" si="4"/>
        <v>1728</v>
      </c>
      <c r="H168" s="194" t="s">
        <v>476</v>
      </c>
    </row>
    <row r="169" spans="1:8" s="199" customFormat="1" ht="12">
      <c r="A169" s="183"/>
      <c r="B169" s="196" t="s">
        <v>278</v>
      </c>
      <c r="C169" s="110" t="s">
        <v>493</v>
      </c>
      <c r="D169" s="166" t="s">
        <v>292</v>
      </c>
      <c r="E169" s="197">
        <v>50</v>
      </c>
      <c r="F169" s="198">
        <v>85.77</v>
      </c>
      <c r="G169" s="114">
        <f t="shared" si="4"/>
        <v>4288.5</v>
      </c>
      <c r="H169" s="194" t="s">
        <v>476</v>
      </c>
    </row>
    <row r="170" spans="1:8" s="199" customFormat="1" ht="12">
      <c r="A170" s="183"/>
      <c r="B170" s="196" t="s">
        <v>278</v>
      </c>
      <c r="C170" s="110" t="s">
        <v>494</v>
      </c>
      <c r="D170" s="166" t="s">
        <v>292</v>
      </c>
      <c r="E170" s="197">
        <v>50</v>
      </c>
      <c r="F170" s="198">
        <v>177.94</v>
      </c>
      <c r="G170" s="114">
        <f t="shared" si="4"/>
        <v>8897</v>
      </c>
      <c r="H170" s="194" t="s">
        <v>476</v>
      </c>
    </row>
    <row r="171" spans="1:8" s="199" customFormat="1" ht="12">
      <c r="A171" s="183"/>
      <c r="B171" s="196" t="s">
        <v>278</v>
      </c>
      <c r="C171" s="110" t="s">
        <v>495</v>
      </c>
      <c r="D171" s="166" t="s">
        <v>484</v>
      </c>
      <c r="E171" s="197">
        <f>2+2</f>
        <v>4</v>
      </c>
      <c r="F171" s="198">
        <v>170</v>
      </c>
      <c r="G171" s="114">
        <f t="shared" si="4"/>
        <v>680</v>
      </c>
      <c r="H171" s="194" t="s">
        <v>476</v>
      </c>
    </row>
    <row r="172" spans="1:8" s="199" customFormat="1" ht="24">
      <c r="A172" s="183"/>
      <c r="B172" s="196" t="s">
        <v>278</v>
      </c>
      <c r="C172" s="110" t="s">
        <v>496</v>
      </c>
      <c r="D172" s="166" t="s">
        <v>484</v>
      </c>
      <c r="E172" s="220">
        <v>2</v>
      </c>
      <c r="F172" s="114">
        <v>160</v>
      </c>
      <c r="G172" s="114">
        <f t="shared" si="4"/>
        <v>320</v>
      </c>
      <c r="H172" s="194" t="s">
        <v>476</v>
      </c>
    </row>
    <row r="173" spans="1:8" s="199" customFormat="1" ht="12">
      <c r="A173" s="183"/>
      <c r="B173" s="196" t="s">
        <v>278</v>
      </c>
      <c r="C173" s="110" t="s">
        <v>497</v>
      </c>
      <c r="D173" s="166" t="s">
        <v>484</v>
      </c>
      <c r="E173" s="197">
        <v>1</v>
      </c>
      <c r="F173" s="198">
        <v>80</v>
      </c>
      <c r="G173" s="114">
        <f t="shared" si="4"/>
        <v>80</v>
      </c>
      <c r="H173" s="194" t="s">
        <v>476</v>
      </c>
    </row>
    <row r="174" spans="1:8" s="199" customFormat="1" ht="12">
      <c r="A174" s="183"/>
      <c r="B174" s="196" t="s">
        <v>278</v>
      </c>
      <c r="C174" s="110" t="s">
        <v>498</v>
      </c>
      <c r="D174" s="166" t="s">
        <v>484</v>
      </c>
      <c r="E174" s="197">
        <v>4</v>
      </c>
      <c r="F174" s="198">
        <v>180</v>
      </c>
      <c r="G174" s="114">
        <f t="shared" si="4"/>
        <v>720</v>
      </c>
      <c r="H174" s="194" t="s">
        <v>476</v>
      </c>
    </row>
    <row r="175" spans="1:8" s="199" customFormat="1" ht="12">
      <c r="A175" s="183"/>
      <c r="B175" s="196" t="s">
        <v>278</v>
      </c>
      <c r="C175" s="110" t="s">
        <v>499</v>
      </c>
      <c r="D175" s="166" t="s">
        <v>484</v>
      </c>
      <c r="E175" s="197">
        <v>1</v>
      </c>
      <c r="F175" s="198">
        <v>2850</v>
      </c>
      <c r="G175" s="114">
        <f t="shared" si="4"/>
        <v>2850</v>
      </c>
      <c r="H175" s="194" t="s">
        <v>476</v>
      </c>
    </row>
    <row r="176" spans="1:8" s="176" customFormat="1">
      <c r="A176" s="169"/>
      <c r="B176" s="170"/>
      <c r="C176" s="171" t="s">
        <v>477</v>
      </c>
      <c r="D176" s="172"/>
      <c r="E176" s="173"/>
      <c r="F176" s="174"/>
      <c r="G176" s="175">
        <f>SUM(G148:G175)</f>
        <v>148402.16</v>
      </c>
    </row>
    <row r="177" spans="1:8" s="194" customFormat="1" ht="12">
      <c r="A177" s="183" t="s">
        <v>45</v>
      </c>
      <c r="B177" s="191" t="s">
        <v>230</v>
      </c>
      <c r="C177" s="178" t="s">
        <v>423</v>
      </c>
      <c r="D177" s="192" t="s">
        <v>228</v>
      </c>
      <c r="E177" s="192">
        <f>0.05+0.06</f>
        <v>0.11</v>
      </c>
      <c r="F177" s="193">
        <v>2971.45</v>
      </c>
      <c r="G177" s="114">
        <f t="shared" ref="G177:G204" si="5">E177*F177</f>
        <v>326.86</v>
      </c>
      <c r="H177" s="194" t="s">
        <v>500</v>
      </c>
    </row>
    <row r="178" spans="1:8" s="194" customFormat="1" ht="12">
      <c r="A178" s="183" t="s">
        <v>147</v>
      </c>
      <c r="B178" s="191" t="s">
        <v>236</v>
      </c>
      <c r="C178" s="178" t="s">
        <v>237</v>
      </c>
      <c r="D178" s="192" t="s">
        <v>228</v>
      </c>
      <c r="E178" s="192">
        <f>0.01</f>
        <v>0.01</v>
      </c>
      <c r="F178" s="193">
        <v>19579.490000000002</v>
      </c>
      <c r="G178" s="114">
        <f t="shared" si="5"/>
        <v>195.79</v>
      </c>
      <c r="H178" s="194" t="s">
        <v>500</v>
      </c>
    </row>
    <row r="179" spans="1:8" s="194" customFormat="1" ht="24">
      <c r="A179" s="183" t="s">
        <v>148</v>
      </c>
      <c r="B179" s="191" t="s">
        <v>424</v>
      </c>
      <c r="C179" s="178" t="s">
        <v>504</v>
      </c>
      <c r="D179" s="192" t="s">
        <v>228</v>
      </c>
      <c r="E179" s="192">
        <f>0.02</f>
        <v>0.02</v>
      </c>
      <c r="F179" s="193">
        <v>21487.77</v>
      </c>
      <c r="G179" s="114">
        <f t="shared" si="5"/>
        <v>429.76</v>
      </c>
      <c r="H179" s="194" t="s">
        <v>500</v>
      </c>
    </row>
    <row r="180" spans="1:8" s="194" customFormat="1" ht="24">
      <c r="A180" s="183" t="s">
        <v>152</v>
      </c>
      <c r="B180" s="191" t="s">
        <v>239</v>
      </c>
      <c r="C180" s="178" t="s">
        <v>240</v>
      </c>
      <c r="D180" s="192" t="s">
        <v>228</v>
      </c>
      <c r="E180" s="192">
        <f>0.02+0.02</f>
        <v>0.04</v>
      </c>
      <c r="F180" s="193">
        <v>39391.39</v>
      </c>
      <c r="G180" s="114">
        <f t="shared" si="5"/>
        <v>1575.66</v>
      </c>
      <c r="H180" s="194" t="s">
        <v>500</v>
      </c>
    </row>
    <row r="181" spans="1:8" s="194" customFormat="1" ht="24">
      <c r="A181" s="183" t="s">
        <v>153</v>
      </c>
      <c r="B181" s="191" t="s">
        <v>248</v>
      </c>
      <c r="C181" s="178" t="s">
        <v>249</v>
      </c>
      <c r="D181" s="192" t="s">
        <v>228</v>
      </c>
      <c r="E181" s="192">
        <f>0.01</f>
        <v>0.01</v>
      </c>
      <c r="F181" s="193">
        <v>29093.69</v>
      </c>
      <c r="G181" s="114">
        <f t="shared" si="5"/>
        <v>290.94</v>
      </c>
      <c r="H181" s="194" t="s">
        <v>500</v>
      </c>
    </row>
    <row r="182" spans="1:8" s="194" customFormat="1" ht="24">
      <c r="A182" s="183" t="s">
        <v>156</v>
      </c>
      <c r="B182" s="191" t="s">
        <v>251</v>
      </c>
      <c r="C182" s="178" t="s">
        <v>252</v>
      </c>
      <c r="D182" s="192" t="s">
        <v>253</v>
      </c>
      <c r="E182" s="192">
        <f>1</f>
        <v>1</v>
      </c>
      <c r="F182" s="193">
        <v>398.2</v>
      </c>
      <c r="G182" s="114">
        <f t="shared" si="5"/>
        <v>398.2</v>
      </c>
      <c r="H182" s="194" t="s">
        <v>500</v>
      </c>
    </row>
    <row r="183" spans="1:8" s="194" customFormat="1" ht="24">
      <c r="A183" s="183" t="s">
        <v>159</v>
      </c>
      <c r="B183" s="191" t="s">
        <v>255</v>
      </c>
      <c r="C183" s="178" t="s">
        <v>256</v>
      </c>
      <c r="D183" s="192" t="s">
        <v>253</v>
      </c>
      <c r="E183" s="192">
        <f>1</f>
        <v>1</v>
      </c>
      <c r="F183" s="193">
        <v>685.76</v>
      </c>
      <c r="G183" s="114">
        <f t="shared" si="5"/>
        <v>685.76</v>
      </c>
      <c r="H183" s="194" t="s">
        <v>500</v>
      </c>
    </row>
    <row r="184" spans="1:8" s="194" customFormat="1" ht="36">
      <c r="A184" s="183" t="s">
        <v>162</v>
      </c>
      <c r="B184" s="191" t="s">
        <v>487</v>
      </c>
      <c r="C184" s="178" t="s">
        <v>337</v>
      </c>
      <c r="D184" s="192" t="s">
        <v>338</v>
      </c>
      <c r="E184" s="192">
        <f>5+0.35</f>
        <v>5.35</v>
      </c>
      <c r="F184" s="193">
        <v>3232.54</v>
      </c>
      <c r="G184" s="114">
        <f t="shared" si="5"/>
        <v>17294.09</v>
      </c>
      <c r="H184" s="194" t="s">
        <v>500</v>
      </c>
    </row>
    <row r="185" spans="1:8" s="194" customFormat="1" ht="36">
      <c r="A185" s="183" t="s">
        <v>173</v>
      </c>
      <c r="B185" s="191" t="s">
        <v>346</v>
      </c>
      <c r="C185" s="178" t="s">
        <v>347</v>
      </c>
      <c r="D185" s="192" t="s">
        <v>253</v>
      </c>
      <c r="E185" s="192">
        <f>1</f>
        <v>1</v>
      </c>
      <c r="F185" s="193">
        <v>519.94000000000005</v>
      </c>
      <c r="G185" s="114">
        <f t="shared" si="5"/>
        <v>519.94000000000005</v>
      </c>
      <c r="H185" s="194" t="s">
        <v>500</v>
      </c>
    </row>
    <row r="186" spans="1:8" s="194" customFormat="1" ht="36">
      <c r="A186" s="183" t="s">
        <v>177</v>
      </c>
      <c r="B186" s="191" t="s">
        <v>434</v>
      </c>
      <c r="C186" s="178" t="s">
        <v>505</v>
      </c>
      <c r="D186" s="192" t="s">
        <v>436</v>
      </c>
      <c r="E186" s="192">
        <f>2+12</f>
        <v>14</v>
      </c>
      <c r="F186" s="193">
        <v>1286.32</v>
      </c>
      <c r="G186" s="114">
        <f t="shared" si="5"/>
        <v>18008.48</v>
      </c>
      <c r="H186" s="194" t="s">
        <v>500</v>
      </c>
    </row>
    <row r="187" spans="1:8" s="194" customFormat="1" ht="60">
      <c r="A187" s="183" t="s">
        <v>181</v>
      </c>
      <c r="B187" s="191" t="s">
        <v>267</v>
      </c>
      <c r="C187" s="178" t="s">
        <v>506</v>
      </c>
      <c r="D187" s="192" t="s">
        <v>269</v>
      </c>
      <c r="E187" s="192">
        <f>0.035+0.01</f>
        <v>4.4999999999999998E-2</v>
      </c>
      <c r="F187" s="193">
        <v>81261.95</v>
      </c>
      <c r="G187" s="114">
        <f t="shared" si="5"/>
        <v>3656.79</v>
      </c>
      <c r="H187" s="194" t="s">
        <v>500</v>
      </c>
    </row>
    <row r="188" spans="1:8" s="194" customFormat="1" ht="24">
      <c r="A188" s="183" t="s">
        <v>185</v>
      </c>
      <c r="B188" s="191" t="s">
        <v>489</v>
      </c>
      <c r="C188" s="178" t="s">
        <v>490</v>
      </c>
      <c r="D188" s="192" t="s">
        <v>269</v>
      </c>
      <c r="E188" s="192">
        <f>0.01</f>
        <v>0.01</v>
      </c>
      <c r="F188" s="193">
        <v>33354.32</v>
      </c>
      <c r="G188" s="114">
        <f t="shared" si="5"/>
        <v>333.54</v>
      </c>
      <c r="H188" s="194" t="s">
        <v>500</v>
      </c>
    </row>
    <row r="189" spans="1:8" s="194" customFormat="1" ht="24">
      <c r="A189" s="183" t="s">
        <v>188</v>
      </c>
      <c r="B189" s="191" t="s">
        <v>271</v>
      </c>
      <c r="C189" s="178" t="s">
        <v>507</v>
      </c>
      <c r="D189" s="192" t="s">
        <v>273</v>
      </c>
      <c r="E189" s="192">
        <f>34+34</f>
        <v>68</v>
      </c>
      <c r="F189" s="193">
        <v>52.66</v>
      </c>
      <c r="G189" s="114">
        <f t="shared" si="5"/>
        <v>3580.88</v>
      </c>
      <c r="H189" s="194" t="s">
        <v>500</v>
      </c>
    </row>
    <row r="190" spans="1:8" s="194" customFormat="1" ht="24">
      <c r="A190" s="183" t="s">
        <v>413</v>
      </c>
      <c r="B190" s="191" t="s">
        <v>350</v>
      </c>
      <c r="C190" s="178" t="s">
        <v>351</v>
      </c>
      <c r="D190" s="192" t="s">
        <v>352</v>
      </c>
      <c r="E190" s="192">
        <f>17+26</f>
        <v>43</v>
      </c>
      <c r="F190" s="193">
        <v>1794.63</v>
      </c>
      <c r="G190" s="114">
        <f t="shared" si="5"/>
        <v>77169.09</v>
      </c>
      <c r="H190" s="194" t="s">
        <v>500</v>
      </c>
    </row>
    <row r="191" spans="1:8" s="168" customFormat="1" ht="48">
      <c r="A191" s="183" t="s">
        <v>120</v>
      </c>
      <c r="B191" s="110" t="s">
        <v>438</v>
      </c>
      <c r="C191" s="178" t="s">
        <v>508</v>
      </c>
      <c r="D191" s="192" t="s">
        <v>253</v>
      </c>
      <c r="E191" s="180">
        <f>6+4</f>
        <v>10</v>
      </c>
      <c r="F191" s="112">
        <v>1168.74</v>
      </c>
      <c r="G191" s="114">
        <f t="shared" si="5"/>
        <v>11687.4</v>
      </c>
      <c r="H191" s="194" t="s">
        <v>500</v>
      </c>
    </row>
    <row r="192" spans="1:8" s="182" customFormat="1" ht="24">
      <c r="A192" s="183" t="s">
        <v>122</v>
      </c>
      <c r="B192" s="189" t="s">
        <v>275</v>
      </c>
      <c r="C192" s="110" t="s">
        <v>276</v>
      </c>
      <c r="D192" s="111" t="s">
        <v>224</v>
      </c>
      <c r="E192" s="111">
        <f>4+4+4+4+8+8+8</f>
        <v>40</v>
      </c>
      <c r="F192" s="190">
        <v>255.83</v>
      </c>
      <c r="G192" s="114">
        <f t="shared" si="5"/>
        <v>10233.200000000001</v>
      </c>
      <c r="H192" s="194" t="s">
        <v>500</v>
      </c>
    </row>
    <row r="193" spans="1:8" s="199" customFormat="1" ht="12">
      <c r="A193" s="183" t="s">
        <v>420</v>
      </c>
      <c r="B193" s="196" t="s">
        <v>278</v>
      </c>
      <c r="C193" s="110" t="s">
        <v>509</v>
      </c>
      <c r="D193" s="166" t="s">
        <v>292</v>
      </c>
      <c r="E193" s="197">
        <v>500</v>
      </c>
      <c r="F193" s="198">
        <v>8.14</v>
      </c>
      <c r="G193" s="114">
        <f t="shared" si="5"/>
        <v>4070</v>
      </c>
      <c r="H193" s="194" t="s">
        <v>500</v>
      </c>
    </row>
    <row r="194" spans="1:8" s="199" customFormat="1" ht="12">
      <c r="A194" s="183" t="s">
        <v>421</v>
      </c>
      <c r="B194" s="196" t="s">
        <v>278</v>
      </c>
      <c r="C194" s="110" t="s">
        <v>510</v>
      </c>
      <c r="D194" s="166" t="s">
        <v>484</v>
      </c>
      <c r="E194" s="197">
        <v>20</v>
      </c>
      <c r="F194" s="198">
        <v>17.5</v>
      </c>
      <c r="G194" s="114">
        <f t="shared" si="5"/>
        <v>350</v>
      </c>
      <c r="H194" s="194" t="s">
        <v>500</v>
      </c>
    </row>
    <row r="195" spans="1:8" s="199" customFormat="1" ht="12">
      <c r="A195" s="183" t="s">
        <v>422</v>
      </c>
      <c r="B195" s="196" t="s">
        <v>278</v>
      </c>
      <c r="C195" s="110" t="s">
        <v>511</v>
      </c>
      <c r="D195" s="166" t="s">
        <v>484</v>
      </c>
      <c r="E195" s="197">
        <v>50</v>
      </c>
      <c r="F195" s="198">
        <v>83.34</v>
      </c>
      <c r="G195" s="114">
        <f t="shared" si="5"/>
        <v>4167</v>
      </c>
      <c r="H195" s="194" t="s">
        <v>500</v>
      </c>
    </row>
    <row r="196" spans="1:8" s="199" customFormat="1" ht="12">
      <c r="A196" s="183" t="s">
        <v>512</v>
      </c>
      <c r="B196" s="196" t="s">
        <v>278</v>
      </c>
      <c r="C196" s="110" t="s">
        <v>513</v>
      </c>
      <c r="D196" s="166" t="s">
        <v>484</v>
      </c>
      <c r="E196" s="197">
        <v>50</v>
      </c>
      <c r="F196" s="198">
        <v>62.44</v>
      </c>
      <c r="G196" s="114">
        <f t="shared" si="5"/>
        <v>3122</v>
      </c>
      <c r="H196" s="194" t="s">
        <v>500</v>
      </c>
    </row>
    <row r="197" spans="1:8" s="199" customFormat="1" ht="12">
      <c r="A197" s="183" t="s">
        <v>514</v>
      </c>
      <c r="B197" s="196" t="s">
        <v>278</v>
      </c>
      <c r="C197" s="110" t="s">
        <v>515</v>
      </c>
      <c r="D197" s="166" t="s">
        <v>292</v>
      </c>
      <c r="E197" s="220">
        <v>150</v>
      </c>
      <c r="F197" s="114">
        <v>65.819999999999993</v>
      </c>
      <c r="G197" s="114">
        <f t="shared" si="5"/>
        <v>9873</v>
      </c>
      <c r="H197" s="194" t="s">
        <v>500</v>
      </c>
    </row>
    <row r="198" spans="1:8" s="199" customFormat="1" ht="12">
      <c r="A198" s="183" t="s">
        <v>202</v>
      </c>
      <c r="B198" s="196" t="s">
        <v>278</v>
      </c>
      <c r="C198" s="110" t="s">
        <v>516</v>
      </c>
      <c r="D198" s="166" t="s">
        <v>484</v>
      </c>
      <c r="E198" s="197">
        <v>1</v>
      </c>
      <c r="F198" s="198">
        <v>2248.25</v>
      </c>
      <c r="G198" s="114">
        <f t="shared" si="5"/>
        <v>2248.25</v>
      </c>
      <c r="H198" s="194" t="s">
        <v>500</v>
      </c>
    </row>
    <row r="199" spans="1:8" s="199" customFormat="1" ht="12">
      <c r="A199" s="183" t="s">
        <v>205</v>
      </c>
      <c r="B199" s="196" t="s">
        <v>278</v>
      </c>
      <c r="C199" s="110" t="s">
        <v>517</v>
      </c>
      <c r="D199" s="166" t="s">
        <v>484</v>
      </c>
      <c r="E199" s="197">
        <v>1</v>
      </c>
      <c r="F199" s="198">
        <v>613.92999999999995</v>
      </c>
      <c r="G199" s="114">
        <f t="shared" si="5"/>
        <v>613.92999999999995</v>
      </c>
      <c r="H199" s="194" t="s">
        <v>500</v>
      </c>
    </row>
    <row r="200" spans="1:8" s="199" customFormat="1" ht="12">
      <c r="A200" s="183" t="s">
        <v>209</v>
      </c>
      <c r="B200" s="196" t="s">
        <v>278</v>
      </c>
      <c r="C200" s="110" t="s">
        <v>518</v>
      </c>
      <c r="D200" s="166" t="s">
        <v>484</v>
      </c>
      <c r="E200" s="197">
        <v>1</v>
      </c>
      <c r="F200" s="198">
        <v>2578.3200000000002</v>
      </c>
      <c r="G200" s="114">
        <f t="shared" si="5"/>
        <v>2578.3200000000002</v>
      </c>
      <c r="H200" s="194" t="s">
        <v>500</v>
      </c>
    </row>
    <row r="201" spans="1:8" s="199" customFormat="1" ht="12">
      <c r="A201" s="183" t="s">
        <v>213</v>
      </c>
      <c r="B201" s="196" t="s">
        <v>278</v>
      </c>
      <c r="C201" s="110" t="s">
        <v>519</v>
      </c>
      <c r="D201" s="166" t="s">
        <v>484</v>
      </c>
      <c r="E201" s="197">
        <v>2</v>
      </c>
      <c r="F201" s="198">
        <v>2026.84</v>
      </c>
      <c r="G201" s="114">
        <f t="shared" si="5"/>
        <v>4053.68</v>
      </c>
      <c r="H201" s="194" t="s">
        <v>500</v>
      </c>
    </row>
    <row r="202" spans="1:8" s="199" customFormat="1" ht="12">
      <c r="A202" s="183" t="s">
        <v>217</v>
      </c>
      <c r="B202" s="196" t="s">
        <v>278</v>
      </c>
      <c r="C202" s="110" t="s">
        <v>520</v>
      </c>
      <c r="D202" s="166" t="s">
        <v>484</v>
      </c>
      <c r="E202" s="197">
        <v>2</v>
      </c>
      <c r="F202" s="198">
        <v>82.34</v>
      </c>
      <c r="G202" s="114">
        <f t="shared" si="5"/>
        <v>164.68</v>
      </c>
      <c r="H202" s="194" t="s">
        <v>500</v>
      </c>
    </row>
    <row r="203" spans="1:8" s="199" customFormat="1" ht="12">
      <c r="A203" s="183" t="s">
        <v>221</v>
      </c>
      <c r="B203" s="196" t="s">
        <v>278</v>
      </c>
      <c r="C203" s="110" t="s">
        <v>521</v>
      </c>
      <c r="D203" s="166" t="s">
        <v>484</v>
      </c>
      <c r="E203" s="197">
        <v>1</v>
      </c>
      <c r="F203" s="198">
        <v>632.15</v>
      </c>
      <c r="G203" s="114">
        <f t="shared" si="5"/>
        <v>632.15</v>
      </c>
      <c r="H203" s="194" t="s">
        <v>500</v>
      </c>
    </row>
    <row r="204" spans="1:8" s="199" customFormat="1" ht="12">
      <c r="A204" s="183" t="s">
        <v>225</v>
      </c>
      <c r="B204" s="196" t="s">
        <v>278</v>
      </c>
      <c r="C204" s="110" t="s">
        <v>522</v>
      </c>
      <c r="D204" s="166" t="s">
        <v>484</v>
      </c>
      <c r="E204" s="197">
        <v>1</v>
      </c>
      <c r="F204" s="198">
        <v>34.51</v>
      </c>
      <c r="G204" s="114">
        <f t="shared" si="5"/>
        <v>34.51</v>
      </c>
      <c r="H204" s="194" t="s">
        <v>500</v>
      </c>
    </row>
    <row r="205" spans="1:8" s="176" customFormat="1">
      <c r="A205" s="169"/>
      <c r="B205" s="170"/>
      <c r="C205" s="171" t="s">
        <v>501</v>
      </c>
      <c r="D205" s="172"/>
      <c r="E205" s="173"/>
      <c r="F205" s="174"/>
      <c r="G205" s="175">
        <f>SUM(G177:G204)</f>
        <v>178293.9</v>
      </c>
      <c r="H205" s="194"/>
    </row>
    <row r="206" spans="1:8" s="194" customFormat="1" ht="12">
      <c r="A206" s="183" t="s">
        <v>202</v>
      </c>
      <c r="B206" s="191" t="s">
        <v>226</v>
      </c>
      <c r="C206" s="178" t="s">
        <v>227</v>
      </c>
      <c r="D206" s="192" t="s">
        <v>228</v>
      </c>
      <c r="E206" s="192">
        <f>0.47+0.37+0.12+0.08</f>
        <v>1.04</v>
      </c>
      <c r="F206" s="193">
        <v>1517.86</v>
      </c>
      <c r="G206" s="114">
        <f t="shared" ref="G206:G222" si="6">E206*F206</f>
        <v>1578.57</v>
      </c>
      <c r="H206" s="194" t="s">
        <v>529</v>
      </c>
    </row>
    <row r="207" spans="1:8" s="194" customFormat="1" ht="24">
      <c r="A207" s="183" t="s">
        <v>205</v>
      </c>
      <c r="B207" s="191" t="s">
        <v>424</v>
      </c>
      <c r="C207" s="178" t="s">
        <v>504</v>
      </c>
      <c r="D207" s="192" t="s">
        <v>228</v>
      </c>
      <c r="E207" s="192">
        <v>0.03</v>
      </c>
      <c r="F207" s="193">
        <v>21487.77</v>
      </c>
      <c r="G207" s="114">
        <f t="shared" si="6"/>
        <v>644.63</v>
      </c>
      <c r="H207" s="194" t="s">
        <v>529</v>
      </c>
    </row>
    <row r="208" spans="1:8" s="194" customFormat="1" ht="12">
      <c r="A208" s="183" t="s">
        <v>209</v>
      </c>
      <c r="B208" s="191" t="s">
        <v>245</v>
      </c>
      <c r="C208" s="178" t="s">
        <v>246</v>
      </c>
      <c r="D208" s="192" t="s">
        <v>228</v>
      </c>
      <c r="E208" s="192">
        <v>0.03</v>
      </c>
      <c r="F208" s="193">
        <v>7738</v>
      </c>
      <c r="G208" s="114">
        <f t="shared" si="6"/>
        <v>232.14</v>
      </c>
      <c r="H208" s="194" t="s">
        <v>529</v>
      </c>
    </row>
    <row r="209" spans="1:8" s="194" customFormat="1" ht="36">
      <c r="A209" s="183" t="s">
        <v>213</v>
      </c>
      <c r="B209" s="191" t="s">
        <v>431</v>
      </c>
      <c r="C209" s="178" t="s">
        <v>540</v>
      </c>
      <c r="D209" s="192" t="s">
        <v>253</v>
      </c>
      <c r="E209" s="192">
        <v>1</v>
      </c>
      <c r="F209" s="193">
        <v>444.28</v>
      </c>
      <c r="G209" s="114">
        <f t="shared" si="6"/>
        <v>444.28</v>
      </c>
      <c r="H209" s="194" t="s">
        <v>529</v>
      </c>
    </row>
    <row r="210" spans="1:8" s="194" customFormat="1" ht="24">
      <c r="A210" s="183" t="s">
        <v>217</v>
      </c>
      <c r="B210" s="191" t="s">
        <v>255</v>
      </c>
      <c r="C210" s="178" t="s">
        <v>256</v>
      </c>
      <c r="D210" s="192" t="s">
        <v>253</v>
      </c>
      <c r="E210" s="192">
        <v>2</v>
      </c>
      <c r="F210" s="193">
        <v>685.76</v>
      </c>
      <c r="G210" s="114">
        <f t="shared" si="6"/>
        <v>1371.52</v>
      </c>
      <c r="H210" s="194" t="s">
        <v>529</v>
      </c>
    </row>
    <row r="211" spans="1:8" s="194" customFormat="1" ht="36">
      <c r="A211" s="183" t="s">
        <v>221</v>
      </c>
      <c r="B211" s="191" t="s">
        <v>487</v>
      </c>
      <c r="C211" s="178" t="s">
        <v>337</v>
      </c>
      <c r="D211" s="192" t="s">
        <v>338</v>
      </c>
      <c r="E211" s="192">
        <f>0.35+1+0.7</f>
        <v>2.0499999999999998</v>
      </c>
      <c r="F211" s="193">
        <v>3232.54</v>
      </c>
      <c r="G211" s="114">
        <f t="shared" si="6"/>
        <v>6626.71</v>
      </c>
      <c r="H211" s="194" t="s">
        <v>529</v>
      </c>
    </row>
    <row r="212" spans="1:8" s="194" customFormat="1" ht="36">
      <c r="A212" s="183" t="s">
        <v>225</v>
      </c>
      <c r="B212" s="191" t="s">
        <v>339</v>
      </c>
      <c r="C212" s="178" t="s">
        <v>340</v>
      </c>
      <c r="D212" s="192" t="s">
        <v>253</v>
      </c>
      <c r="E212" s="192">
        <v>2</v>
      </c>
      <c r="F212" s="193">
        <v>2786.22</v>
      </c>
      <c r="G212" s="114">
        <f t="shared" si="6"/>
        <v>5572.44</v>
      </c>
      <c r="H212" s="194" t="s">
        <v>529</v>
      </c>
    </row>
    <row r="213" spans="1:8" s="194" customFormat="1" ht="36">
      <c r="A213" s="183" t="s">
        <v>229</v>
      </c>
      <c r="B213" s="191" t="s">
        <v>261</v>
      </c>
      <c r="C213" s="178" t="s">
        <v>541</v>
      </c>
      <c r="D213" s="192" t="s">
        <v>253</v>
      </c>
      <c r="E213" s="192">
        <v>3</v>
      </c>
      <c r="F213" s="193">
        <v>1747.4</v>
      </c>
      <c r="G213" s="114">
        <f t="shared" si="6"/>
        <v>5242.2</v>
      </c>
      <c r="H213" s="194" t="s">
        <v>529</v>
      </c>
    </row>
    <row r="214" spans="1:8" s="194" customFormat="1" ht="36">
      <c r="A214" s="183" t="s">
        <v>232</v>
      </c>
      <c r="B214" s="191" t="s">
        <v>346</v>
      </c>
      <c r="C214" s="178" t="s">
        <v>347</v>
      </c>
      <c r="D214" s="192" t="s">
        <v>253</v>
      </c>
      <c r="E214" s="192">
        <v>5</v>
      </c>
      <c r="F214" s="193">
        <v>519.94000000000005</v>
      </c>
      <c r="G214" s="114">
        <f t="shared" si="6"/>
        <v>2599.6999999999998</v>
      </c>
      <c r="H214" s="194" t="s">
        <v>529</v>
      </c>
    </row>
    <row r="215" spans="1:8" s="194" customFormat="1" ht="48">
      <c r="A215" s="183" t="s">
        <v>235</v>
      </c>
      <c r="B215" s="191" t="s">
        <v>348</v>
      </c>
      <c r="C215" s="178" t="s">
        <v>349</v>
      </c>
      <c r="D215" s="192" t="s">
        <v>253</v>
      </c>
      <c r="E215" s="192">
        <v>1</v>
      </c>
      <c r="F215" s="193">
        <v>1108.55</v>
      </c>
      <c r="G215" s="114">
        <f t="shared" si="6"/>
        <v>1108.55</v>
      </c>
      <c r="H215" s="194" t="s">
        <v>529</v>
      </c>
    </row>
    <row r="216" spans="1:8" s="194" customFormat="1" ht="12">
      <c r="A216" s="183" t="s">
        <v>238</v>
      </c>
      <c r="B216" s="191" t="s">
        <v>542</v>
      </c>
      <c r="C216" s="178" t="s">
        <v>543</v>
      </c>
      <c r="D216" s="192" t="s">
        <v>253</v>
      </c>
      <c r="E216" s="192">
        <v>1</v>
      </c>
      <c r="F216" s="193">
        <v>294.5</v>
      </c>
      <c r="G216" s="114">
        <f t="shared" si="6"/>
        <v>294.5</v>
      </c>
      <c r="H216" s="194" t="s">
        <v>529</v>
      </c>
    </row>
    <row r="217" spans="1:8" s="194" customFormat="1" ht="36">
      <c r="A217" s="183" t="s">
        <v>241</v>
      </c>
      <c r="B217" s="191" t="s">
        <v>264</v>
      </c>
      <c r="C217" s="178" t="s">
        <v>544</v>
      </c>
      <c r="D217" s="192" t="s">
        <v>228</v>
      </c>
      <c r="E217" s="192">
        <v>0.02</v>
      </c>
      <c r="F217" s="193">
        <v>204627.42</v>
      </c>
      <c r="G217" s="114">
        <f t="shared" si="6"/>
        <v>4092.55</v>
      </c>
      <c r="H217" s="194" t="s">
        <v>529</v>
      </c>
    </row>
    <row r="218" spans="1:8" s="194" customFormat="1" ht="36">
      <c r="A218" s="183" t="s">
        <v>244</v>
      </c>
      <c r="B218" s="191" t="s">
        <v>434</v>
      </c>
      <c r="C218" s="178" t="s">
        <v>505</v>
      </c>
      <c r="D218" s="192" t="s">
        <v>436</v>
      </c>
      <c r="E218" s="192">
        <v>11</v>
      </c>
      <c r="F218" s="193">
        <v>1286.32</v>
      </c>
      <c r="G218" s="114">
        <f t="shared" si="6"/>
        <v>14149.52</v>
      </c>
      <c r="H218" s="194" t="s">
        <v>529</v>
      </c>
    </row>
    <row r="219" spans="1:8" s="194" customFormat="1" ht="24">
      <c r="A219" s="183" t="s">
        <v>247</v>
      </c>
      <c r="B219" s="191" t="s">
        <v>271</v>
      </c>
      <c r="C219" s="178" t="s">
        <v>507</v>
      </c>
      <c r="D219" s="192" t="s">
        <v>273</v>
      </c>
      <c r="E219" s="192">
        <f>34*3</f>
        <v>102</v>
      </c>
      <c r="F219" s="193">
        <v>52.66</v>
      </c>
      <c r="G219" s="114">
        <f t="shared" si="6"/>
        <v>5371.32</v>
      </c>
      <c r="H219" s="194" t="s">
        <v>529</v>
      </c>
    </row>
    <row r="220" spans="1:8" s="194" customFormat="1" ht="24">
      <c r="A220" s="183" t="s">
        <v>250</v>
      </c>
      <c r="B220" s="191" t="s">
        <v>350</v>
      </c>
      <c r="C220" s="178" t="s">
        <v>351</v>
      </c>
      <c r="D220" s="192" t="s">
        <v>352</v>
      </c>
      <c r="E220" s="192">
        <v>33</v>
      </c>
      <c r="F220" s="193">
        <v>1794.63</v>
      </c>
      <c r="G220" s="114">
        <f t="shared" si="6"/>
        <v>59222.79</v>
      </c>
      <c r="H220" s="194" t="s">
        <v>529</v>
      </c>
    </row>
    <row r="221" spans="1:8" s="168" customFormat="1" ht="48">
      <c r="A221" s="183" t="s">
        <v>254</v>
      </c>
      <c r="B221" s="110" t="s">
        <v>438</v>
      </c>
      <c r="C221" s="178" t="s">
        <v>508</v>
      </c>
      <c r="D221" s="192" t="s">
        <v>253</v>
      </c>
      <c r="E221" s="180">
        <v>7</v>
      </c>
      <c r="F221" s="112">
        <v>1168.74</v>
      </c>
      <c r="G221" s="114">
        <f t="shared" si="6"/>
        <v>8181.18</v>
      </c>
      <c r="H221" s="194" t="s">
        <v>529</v>
      </c>
    </row>
    <row r="222" spans="1:8" s="182" customFormat="1" ht="24">
      <c r="A222" s="183" t="s">
        <v>257</v>
      </c>
      <c r="B222" s="189" t="s">
        <v>275</v>
      </c>
      <c r="C222" s="233" t="s">
        <v>276</v>
      </c>
      <c r="D222" s="111" t="s">
        <v>224</v>
      </c>
      <c r="E222" s="111">
        <v>24</v>
      </c>
      <c r="F222" s="234">
        <v>255.83</v>
      </c>
      <c r="G222" s="114">
        <f t="shared" si="6"/>
        <v>6139.92</v>
      </c>
      <c r="H222" s="194" t="s">
        <v>529</v>
      </c>
    </row>
    <row r="223" spans="1:8" s="240" customFormat="1" ht="22.15" customHeight="1">
      <c r="A223" s="183" t="s">
        <v>260</v>
      </c>
      <c r="B223" s="189" t="s">
        <v>278</v>
      </c>
      <c r="C223" s="235" t="s">
        <v>545</v>
      </c>
      <c r="D223" s="236" t="s">
        <v>292</v>
      </c>
      <c r="E223" s="237">
        <v>55</v>
      </c>
      <c r="F223" s="238">
        <v>26</v>
      </c>
      <c r="G223" s="239">
        <f>F223*E223</f>
        <v>1430</v>
      </c>
      <c r="H223" s="194" t="s">
        <v>529</v>
      </c>
    </row>
    <row r="224" spans="1:8" s="240" customFormat="1" ht="13.15" customHeight="1">
      <c r="A224" s="183" t="s">
        <v>263</v>
      </c>
      <c r="B224" s="241"/>
      <c r="C224" s="235" t="s">
        <v>546</v>
      </c>
      <c r="D224" s="236" t="s">
        <v>484</v>
      </c>
      <c r="E224" s="237">
        <v>1</v>
      </c>
      <c r="F224" s="242">
        <v>1600</v>
      </c>
      <c r="G224" s="239">
        <f t="shared" ref="G224:G230" si="7">F224*E224</f>
        <v>1600</v>
      </c>
      <c r="H224" s="194" t="s">
        <v>529</v>
      </c>
    </row>
    <row r="225" spans="1:8" s="240" customFormat="1" ht="13.15" customHeight="1">
      <c r="A225" s="183" t="s">
        <v>266</v>
      </c>
      <c r="B225" s="241"/>
      <c r="C225" s="235" t="s">
        <v>547</v>
      </c>
      <c r="D225" s="236" t="s">
        <v>484</v>
      </c>
      <c r="E225" s="237">
        <v>3</v>
      </c>
      <c r="F225" s="238">
        <v>380</v>
      </c>
      <c r="G225" s="239">
        <f t="shared" si="7"/>
        <v>1140</v>
      </c>
      <c r="H225" s="194" t="s">
        <v>529</v>
      </c>
    </row>
    <row r="226" spans="1:8" s="240" customFormat="1" ht="13.15" customHeight="1">
      <c r="A226" s="183" t="s">
        <v>270</v>
      </c>
      <c r="B226" s="241"/>
      <c r="C226" s="235" t="s">
        <v>548</v>
      </c>
      <c r="D226" s="236" t="s">
        <v>484</v>
      </c>
      <c r="E226" s="237">
        <v>2</v>
      </c>
      <c r="F226" s="238">
        <v>120</v>
      </c>
      <c r="G226" s="239">
        <f t="shared" si="7"/>
        <v>240</v>
      </c>
      <c r="H226" s="194" t="s">
        <v>529</v>
      </c>
    </row>
    <row r="227" spans="1:8" s="240" customFormat="1" ht="23.45" customHeight="1">
      <c r="A227" s="183" t="s">
        <v>274</v>
      </c>
      <c r="B227" s="241"/>
      <c r="C227" s="235" t="s">
        <v>549</v>
      </c>
      <c r="D227" s="236" t="s">
        <v>484</v>
      </c>
      <c r="E227" s="237">
        <v>7</v>
      </c>
      <c r="F227" s="238">
        <v>160</v>
      </c>
      <c r="G227" s="239">
        <f t="shared" si="7"/>
        <v>1120</v>
      </c>
      <c r="H227" s="194" t="s">
        <v>529</v>
      </c>
    </row>
    <row r="228" spans="1:8" s="240" customFormat="1" ht="13.15" customHeight="1">
      <c r="A228" s="183" t="s">
        <v>277</v>
      </c>
      <c r="B228" s="241"/>
      <c r="C228" s="235" t="s">
        <v>550</v>
      </c>
      <c r="D228" s="236" t="s">
        <v>292</v>
      </c>
      <c r="E228" s="237">
        <v>3</v>
      </c>
      <c r="F228" s="238">
        <v>55</v>
      </c>
      <c r="G228" s="239">
        <f t="shared" si="7"/>
        <v>165</v>
      </c>
      <c r="H228" s="194" t="s">
        <v>529</v>
      </c>
    </row>
    <row r="229" spans="1:8" s="240" customFormat="1" ht="13.15" customHeight="1">
      <c r="A229" s="183" t="s">
        <v>280</v>
      </c>
      <c r="B229" s="241"/>
      <c r="C229" s="235" t="s">
        <v>551</v>
      </c>
      <c r="D229" s="236" t="s">
        <v>484</v>
      </c>
      <c r="E229" s="237">
        <v>45</v>
      </c>
      <c r="F229" s="238">
        <v>73</v>
      </c>
      <c r="G229" s="239">
        <f t="shared" si="7"/>
        <v>3285</v>
      </c>
      <c r="H229" s="194" t="s">
        <v>529</v>
      </c>
    </row>
    <row r="230" spans="1:8" s="248" customFormat="1" ht="13.15" customHeight="1">
      <c r="A230" s="183" t="s">
        <v>282</v>
      </c>
      <c r="B230" s="243"/>
      <c r="C230" s="244" t="s">
        <v>456</v>
      </c>
      <c r="D230" s="245" t="s">
        <v>484</v>
      </c>
      <c r="E230" s="246">
        <v>1</v>
      </c>
      <c r="F230" s="247">
        <v>2900</v>
      </c>
      <c r="G230" s="239">
        <f t="shared" si="7"/>
        <v>2900</v>
      </c>
      <c r="H230" s="194" t="s">
        <v>529</v>
      </c>
    </row>
    <row r="231" spans="1:8" s="254" customFormat="1" ht="13.15" customHeight="1">
      <c r="A231" s="183" t="s">
        <v>284</v>
      </c>
      <c r="B231" s="249"/>
      <c r="C231" s="250" t="s">
        <v>552</v>
      </c>
      <c r="D231" s="251" t="s">
        <v>484</v>
      </c>
      <c r="E231" s="252">
        <v>2</v>
      </c>
      <c r="F231" s="253">
        <v>470</v>
      </c>
      <c r="G231" s="253">
        <f>E231*F231</f>
        <v>940</v>
      </c>
      <c r="H231" s="194" t="s">
        <v>529</v>
      </c>
    </row>
    <row r="232" spans="1:8" s="254" customFormat="1" ht="13.15" customHeight="1">
      <c r="A232" s="183" t="s">
        <v>286</v>
      </c>
      <c r="B232" s="249"/>
      <c r="C232" s="249" t="s">
        <v>553</v>
      </c>
      <c r="D232" s="251" t="s">
        <v>292</v>
      </c>
      <c r="E232" s="252">
        <v>6</v>
      </c>
      <c r="F232" s="253">
        <v>135</v>
      </c>
      <c r="G232" s="253">
        <f t="shared" ref="G232:G243" si="8">E232*F232</f>
        <v>810</v>
      </c>
      <c r="H232" s="194" t="s">
        <v>529</v>
      </c>
    </row>
    <row r="233" spans="1:8" s="254" customFormat="1" ht="13.15" customHeight="1">
      <c r="A233" s="183" t="s">
        <v>288</v>
      </c>
      <c r="B233" s="249"/>
      <c r="C233" s="249" t="s">
        <v>554</v>
      </c>
      <c r="D233" s="251" t="s">
        <v>292</v>
      </c>
      <c r="E233" s="252">
        <v>1.5</v>
      </c>
      <c r="F233" s="253">
        <v>257</v>
      </c>
      <c r="G233" s="253">
        <f t="shared" si="8"/>
        <v>385.5</v>
      </c>
      <c r="H233" s="194" t="s">
        <v>529</v>
      </c>
    </row>
    <row r="234" spans="1:8" s="254" customFormat="1" ht="13.15" customHeight="1">
      <c r="A234" s="183" t="s">
        <v>290</v>
      </c>
      <c r="B234" s="249"/>
      <c r="C234" s="249" t="s">
        <v>555</v>
      </c>
      <c r="D234" s="251" t="s">
        <v>556</v>
      </c>
      <c r="E234" s="252">
        <v>1</v>
      </c>
      <c r="F234" s="253">
        <v>230</v>
      </c>
      <c r="G234" s="253">
        <f t="shared" si="8"/>
        <v>230</v>
      </c>
      <c r="H234" s="194" t="s">
        <v>529</v>
      </c>
    </row>
    <row r="235" spans="1:8" s="254" customFormat="1" ht="13.15" customHeight="1">
      <c r="A235" s="183" t="s">
        <v>293</v>
      </c>
      <c r="B235" s="249"/>
      <c r="C235" s="249" t="s">
        <v>557</v>
      </c>
      <c r="D235" s="251" t="s">
        <v>292</v>
      </c>
      <c r="E235" s="252">
        <v>8</v>
      </c>
      <c r="F235" s="253">
        <v>650</v>
      </c>
      <c r="G235" s="253">
        <f t="shared" si="8"/>
        <v>5200</v>
      </c>
      <c r="H235" s="194" t="s">
        <v>529</v>
      </c>
    </row>
    <row r="236" spans="1:8" s="254" customFormat="1" ht="13.15" customHeight="1">
      <c r="A236" s="183" t="s">
        <v>295</v>
      </c>
      <c r="B236" s="249"/>
      <c r="C236" s="249" t="s">
        <v>558</v>
      </c>
      <c r="D236" s="251" t="s">
        <v>292</v>
      </c>
      <c r="E236" s="252">
        <v>6</v>
      </c>
      <c r="F236" s="253">
        <v>380</v>
      </c>
      <c r="G236" s="253">
        <f t="shared" si="8"/>
        <v>2280</v>
      </c>
      <c r="H236" s="194" t="s">
        <v>529</v>
      </c>
    </row>
    <row r="237" spans="1:8" s="254" customFormat="1" ht="13.15" customHeight="1">
      <c r="A237" s="183" t="s">
        <v>297</v>
      </c>
      <c r="B237" s="249"/>
      <c r="C237" s="249" t="s">
        <v>559</v>
      </c>
      <c r="D237" s="251" t="s">
        <v>484</v>
      </c>
      <c r="E237" s="252">
        <v>5</v>
      </c>
      <c r="F237" s="253">
        <v>224.55</v>
      </c>
      <c r="G237" s="253">
        <f t="shared" si="8"/>
        <v>1122.75</v>
      </c>
      <c r="H237" s="194" t="s">
        <v>529</v>
      </c>
    </row>
    <row r="238" spans="1:8" s="254" customFormat="1" ht="13.15" customHeight="1">
      <c r="A238" s="183" t="s">
        <v>299</v>
      </c>
      <c r="B238" s="249"/>
      <c r="C238" s="249" t="s">
        <v>560</v>
      </c>
      <c r="D238" s="251" t="s">
        <v>292</v>
      </c>
      <c r="E238" s="252">
        <v>3</v>
      </c>
      <c r="F238" s="253">
        <v>690</v>
      </c>
      <c r="G238" s="253">
        <f t="shared" si="8"/>
        <v>2070</v>
      </c>
      <c r="H238" s="194" t="s">
        <v>529</v>
      </c>
    </row>
    <row r="239" spans="1:8" s="254" customFormat="1" ht="13.15" customHeight="1">
      <c r="A239" s="183" t="s">
        <v>301</v>
      </c>
      <c r="B239" s="249"/>
      <c r="C239" s="249" t="s">
        <v>561</v>
      </c>
      <c r="D239" s="251" t="s">
        <v>292</v>
      </c>
      <c r="E239" s="252">
        <v>9.6</v>
      </c>
      <c r="F239" s="253">
        <v>107</v>
      </c>
      <c r="G239" s="253">
        <f t="shared" si="8"/>
        <v>1027.2</v>
      </c>
      <c r="H239" s="194" t="s">
        <v>529</v>
      </c>
    </row>
    <row r="240" spans="1:8" s="254" customFormat="1" ht="13.15" customHeight="1">
      <c r="A240" s="183" t="s">
        <v>302</v>
      </c>
      <c r="B240" s="249"/>
      <c r="C240" s="249" t="s">
        <v>562</v>
      </c>
      <c r="D240" s="251" t="s">
        <v>484</v>
      </c>
      <c r="E240" s="252">
        <v>2</v>
      </c>
      <c r="F240" s="253">
        <v>100</v>
      </c>
      <c r="G240" s="253">
        <f t="shared" si="8"/>
        <v>200</v>
      </c>
      <c r="H240" s="194" t="s">
        <v>529</v>
      </c>
    </row>
    <row r="241" spans="1:8" s="254" customFormat="1" ht="13.15" customHeight="1">
      <c r="A241" s="183" t="s">
        <v>304</v>
      </c>
      <c r="B241" s="249"/>
      <c r="C241" s="249" t="s">
        <v>563</v>
      </c>
      <c r="D241" s="251" t="s">
        <v>292</v>
      </c>
      <c r="E241" s="252">
        <v>6</v>
      </c>
      <c r="F241" s="253">
        <v>83</v>
      </c>
      <c r="G241" s="253">
        <f t="shared" si="8"/>
        <v>498</v>
      </c>
      <c r="H241" s="194" t="s">
        <v>529</v>
      </c>
    </row>
    <row r="242" spans="1:8" s="255" customFormat="1" ht="13.15" customHeight="1">
      <c r="A242" s="183" t="s">
        <v>306</v>
      </c>
      <c r="B242" s="249"/>
      <c r="C242" s="249" t="s">
        <v>559</v>
      </c>
      <c r="D242" s="251" t="s">
        <v>484</v>
      </c>
      <c r="E242" s="252">
        <v>6</v>
      </c>
      <c r="F242" s="253">
        <v>224.55</v>
      </c>
      <c r="G242" s="253">
        <f t="shared" si="8"/>
        <v>1347.3</v>
      </c>
      <c r="H242" s="194" t="s">
        <v>529</v>
      </c>
    </row>
    <row r="243" spans="1:8" s="254" customFormat="1" ht="13.15" customHeight="1">
      <c r="A243" s="183" t="s">
        <v>564</v>
      </c>
      <c r="B243" s="249"/>
      <c r="C243" s="249" t="s">
        <v>565</v>
      </c>
      <c r="D243" s="251" t="s">
        <v>484</v>
      </c>
      <c r="E243" s="252">
        <v>1</v>
      </c>
      <c r="F243" s="253">
        <v>165</v>
      </c>
      <c r="G243" s="253">
        <f t="shared" si="8"/>
        <v>165</v>
      </c>
      <c r="H243" s="194" t="s">
        <v>529</v>
      </c>
    </row>
    <row r="244" spans="1:8" s="176" customFormat="1">
      <c r="A244" s="169"/>
      <c r="B244" s="170"/>
      <c r="C244" s="171" t="s">
        <v>528</v>
      </c>
      <c r="D244" s="172"/>
      <c r="E244" s="173"/>
      <c r="F244" s="174"/>
      <c r="G244" s="175">
        <f>SUM(G206:G243)</f>
        <v>151028.26999999999</v>
      </c>
    </row>
    <row r="245" spans="1:8" s="194" customFormat="1" ht="12">
      <c r="A245" s="183" t="s">
        <v>263</v>
      </c>
      <c r="B245" s="191" t="s">
        <v>226</v>
      </c>
      <c r="C245" s="178" t="s">
        <v>227</v>
      </c>
      <c r="D245" s="192" t="s">
        <v>228</v>
      </c>
      <c r="E245" s="192">
        <f>0.04+0.06+0.04+0.04+0.12+0.06+0.18+0.05</f>
        <v>0.59</v>
      </c>
      <c r="F245" s="193">
        <v>1517.86</v>
      </c>
      <c r="G245" s="114">
        <f t="shared" ref="G245:G260" si="9">E245*F245</f>
        <v>895.54</v>
      </c>
      <c r="H245" s="194" t="s">
        <v>567</v>
      </c>
    </row>
    <row r="246" spans="1:8" s="194" customFormat="1" ht="24">
      <c r="A246" s="183" t="s">
        <v>266</v>
      </c>
      <c r="B246" s="191" t="s">
        <v>424</v>
      </c>
      <c r="C246" s="178" t="s">
        <v>504</v>
      </c>
      <c r="D246" s="192" t="s">
        <v>228</v>
      </c>
      <c r="E246" s="192">
        <f>0.04</f>
        <v>0.04</v>
      </c>
      <c r="F246" s="193">
        <v>21487.77</v>
      </c>
      <c r="G246" s="114">
        <f t="shared" si="9"/>
        <v>859.51</v>
      </c>
      <c r="H246" s="194" t="s">
        <v>567</v>
      </c>
    </row>
    <row r="247" spans="1:8" s="194" customFormat="1" ht="36">
      <c r="A247" s="183" t="s">
        <v>270</v>
      </c>
      <c r="B247" s="191" t="s">
        <v>431</v>
      </c>
      <c r="C247" s="178" t="s">
        <v>599</v>
      </c>
      <c r="D247" s="192" t="s">
        <v>253</v>
      </c>
      <c r="E247" s="192">
        <f>6+1+1</f>
        <v>8</v>
      </c>
      <c r="F247" s="193">
        <v>444.28</v>
      </c>
      <c r="G247" s="114">
        <f t="shared" si="9"/>
        <v>3554.24</v>
      </c>
      <c r="H247" s="194" t="s">
        <v>567</v>
      </c>
    </row>
    <row r="248" spans="1:8" s="194" customFormat="1" ht="36">
      <c r="A248" s="183" t="s">
        <v>274</v>
      </c>
      <c r="B248" s="191" t="s">
        <v>487</v>
      </c>
      <c r="C248" s="178" t="s">
        <v>337</v>
      </c>
      <c r="D248" s="192" t="s">
        <v>338</v>
      </c>
      <c r="E248" s="192">
        <f>0.6</f>
        <v>0.6</v>
      </c>
      <c r="F248" s="193">
        <v>3232.54</v>
      </c>
      <c r="G248" s="114">
        <f t="shared" si="9"/>
        <v>1939.52</v>
      </c>
      <c r="H248" s="194" t="s">
        <v>567</v>
      </c>
    </row>
    <row r="249" spans="1:8" s="194" customFormat="1" ht="36">
      <c r="A249" s="183" t="s">
        <v>277</v>
      </c>
      <c r="B249" s="191" t="s">
        <v>258</v>
      </c>
      <c r="C249" s="178" t="s">
        <v>259</v>
      </c>
      <c r="D249" s="192" t="s">
        <v>253</v>
      </c>
      <c r="E249" s="192">
        <f>3+3</f>
        <v>6</v>
      </c>
      <c r="F249" s="193">
        <v>1020.87</v>
      </c>
      <c r="G249" s="114">
        <f t="shared" si="9"/>
        <v>6125.22</v>
      </c>
      <c r="H249" s="194" t="s">
        <v>567</v>
      </c>
    </row>
    <row r="250" spans="1:8" s="194" customFormat="1" ht="36">
      <c r="A250" s="183" t="s">
        <v>280</v>
      </c>
      <c r="B250" s="191" t="s">
        <v>600</v>
      </c>
      <c r="C250" s="178" t="s">
        <v>601</v>
      </c>
      <c r="D250" s="192" t="s">
        <v>343</v>
      </c>
      <c r="E250" s="192">
        <v>1.1000000000000001</v>
      </c>
      <c r="F250" s="193">
        <v>7745.16</v>
      </c>
      <c r="G250" s="114">
        <f t="shared" si="9"/>
        <v>8519.68</v>
      </c>
      <c r="H250" s="194" t="s">
        <v>567</v>
      </c>
    </row>
    <row r="251" spans="1:8" s="194" customFormat="1" ht="60">
      <c r="A251" s="183" t="s">
        <v>282</v>
      </c>
      <c r="B251" s="191" t="s">
        <v>344</v>
      </c>
      <c r="C251" s="178" t="s">
        <v>345</v>
      </c>
      <c r="D251" s="192" t="s">
        <v>343</v>
      </c>
      <c r="E251" s="192">
        <v>1.1000000000000001</v>
      </c>
      <c r="F251" s="193">
        <v>1759.16</v>
      </c>
      <c r="G251" s="114">
        <f t="shared" si="9"/>
        <v>1935.08</v>
      </c>
      <c r="H251" s="194" t="s">
        <v>567</v>
      </c>
    </row>
    <row r="252" spans="1:8" s="194" customFormat="1" ht="36">
      <c r="A252" s="183" t="s">
        <v>284</v>
      </c>
      <c r="B252" s="191" t="s">
        <v>346</v>
      </c>
      <c r="C252" s="178" t="s">
        <v>347</v>
      </c>
      <c r="D252" s="192" t="s">
        <v>253</v>
      </c>
      <c r="E252" s="192">
        <f>1</f>
        <v>1</v>
      </c>
      <c r="F252" s="193">
        <v>519.94000000000005</v>
      </c>
      <c r="G252" s="114">
        <f t="shared" si="9"/>
        <v>519.94000000000005</v>
      </c>
      <c r="H252" s="194" t="s">
        <v>567</v>
      </c>
    </row>
    <row r="253" spans="1:8" s="194" customFormat="1" ht="24">
      <c r="A253" s="183" t="s">
        <v>286</v>
      </c>
      <c r="B253" s="191" t="s">
        <v>602</v>
      </c>
      <c r="C253" s="178" t="s">
        <v>603</v>
      </c>
      <c r="D253" s="192" t="s">
        <v>253</v>
      </c>
      <c r="E253" s="192">
        <v>1</v>
      </c>
      <c r="F253" s="193">
        <v>95.29</v>
      </c>
      <c r="G253" s="114">
        <f t="shared" si="9"/>
        <v>95.29</v>
      </c>
      <c r="H253" s="194" t="s">
        <v>567</v>
      </c>
    </row>
    <row r="254" spans="1:8" s="194" customFormat="1" ht="36">
      <c r="A254" s="183" t="s">
        <v>288</v>
      </c>
      <c r="B254" s="191" t="s">
        <v>434</v>
      </c>
      <c r="C254" s="178" t="s">
        <v>505</v>
      </c>
      <c r="D254" s="192" t="s">
        <v>436</v>
      </c>
      <c r="E254" s="192">
        <v>3</v>
      </c>
      <c r="F254" s="193">
        <v>1286.32</v>
      </c>
      <c r="G254" s="114">
        <f t="shared" si="9"/>
        <v>3858.96</v>
      </c>
      <c r="H254" s="194" t="s">
        <v>567</v>
      </c>
    </row>
    <row r="255" spans="1:8" s="194" customFormat="1" ht="24">
      <c r="A255" s="183" t="s">
        <v>290</v>
      </c>
      <c r="B255" s="191" t="s">
        <v>271</v>
      </c>
      <c r="C255" s="178" t="s">
        <v>507</v>
      </c>
      <c r="D255" s="192" t="s">
        <v>273</v>
      </c>
      <c r="E255" s="192">
        <f>32+32+32</f>
        <v>96</v>
      </c>
      <c r="F255" s="193">
        <v>52.66</v>
      </c>
      <c r="G255" s="114">
        <f t="shared" si="9"/>
        <v>5055.3599999999997</v>
      </c>
      <c r="H255" s="194" t="s">
        <v>567</v>
      </c>
    </row>
    <row r="256" spans="1:8" s="194" customFormat="1" ht="24">
      <c r="A256" s="183" t="s">
        <v>293</v>
      </c>
      <c r="B256" s="191" t="s">
        <v>350</v>
      </c>
      <c r="C256" s="178" t="s">
        <v>351</v>
      </c>
      <c r="D256" s="192" t="s">
        <v>352</v>
      </c>
      <c r="E256" s="192">
        <v>49.5</v>
      </c>
      <c r="F256" s="193">
        <v>1794.63</v>
      </c>
      <c r="G256" s="114">
        <f t="shared" si="9"/>
        <v>88834.19</v>
      </c>
      <c r="H256" s="194" t="s">
        <v>567</v>
      </c>
    </row>
    <row r="257" spans="1:8" s="168" customFormat="1" ht="48">
      <c r="A257" s="183" t="s">
        <v>295</v>
      </c>
      <c r="B257" s="110" t="s">
        <v>438</v>
      </c>
      <c r="C257" s="178" t="s">
        <v>508</v>
      </c>
      <c r="D257" s="192" t="s">
        <v>253</v>
      </c>
      <c r="E257" s="180">
        <v>1</v>
      </c>
      <c r="F257" s="112">
        <v>1168.74</v>
      </c>
      <c r="G257" s="114">
        <f t="shared" si="9"/>
        <v>1168.74</v>
      </c>
      <c r="H257" s="194" t="s">
        <v>567</v>
      </c>
    </row>
    <row r="258" spans="1:8" s="194" customFormat="1" ht="24">
      <c r="A258" s="183" t="s">
        <v>297</v>
      </c>
      <c r="B258" s="191" t="s">
        <v>604</v>
      </c>
      <c r="C258" s="178" t="s">
        <v>605</v>
      </c>
      <c r="D258" s="192" t="s">
        <v>606</v>
      </c>
      <c r="E258" s="192">
        <v>49.9</v>
      </c>
      <c r="F258" s="193">
        <v>365.12</v>
      </c>
      <c r="G258" s="114">
        <f t="shared" si="9"/>
        <v>18219.490000000002</v>
      </c>
      <c r="H258" s="194" t="s">
        <v>567</v>
      </c>
    </row>
    <row r="259" spans="1:8" s="194" customFormat="1" ht="24">
      <c r="A259" s="183" t="s">
        <v>299</v>
      </c>
      <c r="B259" s="191" t="s">
        <v>607</v>
      </c>
      <c r="C259" s="178" t="s">
        <v>608</v>
      </c>
      <c r="D259" s="192" t="s">
        <v>606</v>
      </c>
      <c r="E259" s="192">
        <v>49.9</v>
      </c>
      <c r="F259" s="193">
        <v>413.74</v>
      </c>
      <c r="G259" s="114">
        <f t="shared" si="9"/>
        <v>20645.63</v>
      </c>
      <c r="H259" s="194" t="s">
        <v>567</v>
      </c>
    </row>
    <row r="260" spans="1:8" s="182" customFormat="1" ht="24">
      <c r="A260" s="183" t="s">
        <v>301</v>
      </c>
      <c r="B260" s="189" t="s">
        <v>275</v>
      </c>
      <c r="C260" s="110" t="s">
        <v>276</v>
      </c>
      <c r="D260" s="111" t="s">
        <v>224</v>
      </c>
      <c r="E260" s="111">
        <v>36</v>
      </c>
      <c r="F260" s="234">
        <v>255.83</v>
      </c>
      <c r="G260" s="114">
        <f t="shared" si="9"/>
        <v>9209.8799999999992</v>
      </c>
      <c r="H260" s="194" t="s">
        <v>567</v>
      </c>
    </row>
    <row r="261" spans="1:8" s="176" customFormat="1">
      <c r="A261" s="169"/>
      <c r="B261" s="170"/>
      <c r="C261" s="171" t="s">
        <v>568</v>
      </c>
      <c r="D261" s="172"/>
      <c r="E261" s="173"/>
      <c r="F261" s="174"/>
      <c r="G261" s="175">
        <f>SUM(G245:G260)</f>
        <v>171436.27</v>
      </c>
    </row>
    <row r="262" spans="1:8" s="194" customFormat="1" ht="12">
      <c r="A262" s="183" t="s">
        <v>420</v>
      </c>
      <c r="B262" s="191" t="s">
        <v>226</v>
      </c>
      <c r="C262" s="178" t="s">
        <v>227</v>
      </c>
      <c r="D262" s="192" t="s">
        <v>228</v>
      </c>
      <c r="E262" s="192">
        <f>0.05+0.07+0.02+0.05+0.05+0.05+0.05+0.05</f>
        <v>0.39</v>
      </c>
      <c r="F262" s="193">
        <v>1517.86</v>
      </c>
      <c r="G262" s="114">
        <f t="shared" ref="G262:G284" si="10">E262*F262</f>
        <v>591.97</v>
      </c>
      <c r="H262" s="194" t="s">
        <v>530</v>
      </c>
    </row>
    <row r="263" spans="1:8" s="194" customFormat="1" ht="24">
      <c r="A263" s="183" t="s">
        <v>421</v>
      </c>
      <c r="B263" s="191" t="s">
        <v>424</v>
      </c>
      <c r="C263" s="178" t="s">
        <v>504</v>
      </c>
      <c r="D263" s="192" t="s">
        <v>228</v>
      </c>
      <c r="E263" s="192">
        <f>0.02+0.04</f>
        <v>0.06</v>
      </c>
      <c r="F263" s="193">
        <v>21487.77</v>
      </c>
      <c r="G263" s="114">
        <f t="shared" si="10"/>
        <v>1289.27</v>
      </c>
      <c r="H263" s="194" t="s">
        <v>530</v>
      </c>
    </row>
    <row r="264" spans="1:8" s="194" customFormat="1" ht="24">
      <c r="A264" s="183" t="s">
        <v>422</v>
      </c>
      <c r="B264" s="191" t="s">
        <v>239</v>
      </c>
      <c r="C264" s="178" t="s">
        <v>240</v>
      </c>
      <c r="D264" s="192" t="s">
        <v>228</v>
      </c>
      <c r="E264" s="192">
        <f>0.01+0.02</f>
        <v>0.03</v>
      </c>
      <c r="F264" s="193">
        <v>39391.39</v>
      </c>
      <c r="G264" s="114">
        <f t="shared" si="10"/>
        <v>1181.74</v>
      </c>
      <c r="H264" s="194" t="s">
        <v>530</v>
      </c>
    </row>
    <row r="265" spans="1:8" s="194" customFormat="1" ht="36">
      <c r="A265" s="183" t="s">
        <v>512</v>
      </c>
      <c r="B265" s="191" t="s">
        <v>431</v>
      </c>
      <c r="C265" s="178" t="s">
        <v>599</v>
      </c>
      <c r="D265" s="192" t="s">
        <v>253</v>
      </c>
      <c r="E265" s="192">
        <f>7+5</f>
        <v>12</v>
      </c>
      <c r="F265" s="193">
        <v>444.28</v>
      </c>
      <c r="G265" s="114">
        <f t="shared" si="10"/>
        <v>5331.36</v>
      </c>
      <c r="H265" s="194" t="s">
        <v>530</v>
      </c>
    </row>
    <row r="266" spans="1:8" s="194" customFormat="1" ht="24">
      <c r="A266" s="183" t="s">
        <v>514</v>
      </c>
      <c r="B266" s="191" t="s">
        <v>255</v>
      </c>
      <c r="C266" s="178" t="s">
        <v>256</v>
      </c>
      <c r="D266" s="192" t="s">
        <v>253</v>
      </c>
      <c r="E266" s="192">
        <v>1</v>
      </c>
      <c r="F266" s="193">
        <v>685.76</v>
      </c>
      <c r="G266" s="114">
        <f t="shared" si="10"/>
        <v>685.76</v>
      </c>
      <c r="H266" s="194" t="s">
        <v>530</v>
      </c>
    </row>
    <row r="267" spans="1:8" s="194" customFormat="1" ht="36">
      <c r="A267" s="183" t="s">
        <v>202</v>
      </c>
      <c r="B267" s="191" t="s">
        <v>487</v>
      </c>
      <c r="C267" s="178" t="s">
        <v>337</v>
      </c>
      <c r="D267" s="192" t="s">
        <v>338</v>
      </c>
      <c r="E267" s="192">
        <f>0.2</f>
        <v>0.2</v>
      </c>
      <c r="F267" s="193">
        <v>3232.54</v>
      </c>
      <c r="G267" s="114">
        <f t="shared" si="10"/>
        <v>646.51</v>
      </c>
      <c r="H267" s="194" t="s">
        <v>530</v>
      </c>
    </row>
    <row r="268" spans="1:8" s="194" customFormat="1" ht="36">
      <c r="A268" s="183" t="s">
        <v>205</v>
      </c>
      <c r="B268" s="191" t="s">
        <v>339</v>
      </c>
      <c r="C268" s="178" t="s">
        <v>340</v>
      </c>
      <c r="D268" s="192" t="s">
        <v>253</v>
      </c>
      <c r="E268" s="192">
        <f>0.02</f>
        <v>0.02</v>
      </c>
      <c r="F268" s="193">
        <v>2786.22</v>
      </c>
      <c r="G268" s="114">
        <f t="shared" si="10"/>
        <v>55.72</v>
      </c>
      <c r="H268" s="194" t="s">
        <v>530</v>
      </c>
    </row>
    <row r="269" spans="1:8" s="194" customFormat="1" ht="36">
      <c r="A269" s="183" t="s">
        <v>209</v>
      </c>
      <c r="B269" s="191" t="s">
        <v>258</v>
      </c>
      <c r="C269" s="178" t="s">
        <v>259</v>
      </c>
      <c r="D269" s="192" t="s">
        <v>253</v>
      </c>
      <c r="E269" s="192">
        <f>2+2</f>
        <v>4</v>
      </c>
      <c r="F269" s="193">
        <v>1020.87</v>
      </c>
      <c r="G269" s="114">
        <f t="shared" si="10"/>
        <v>4083.48</v>
      </c>
      <c r="H269" s="194" t="s">
        <v>530</v>
      </c>
    </row>
    <row r="270" spans="1:8" s="194" customFormat="1" ht="12">
      <c r="A270" s="183" t="s">
        <v>213</v>
      </c>
      <c r="B270" s="191" t="s">
        <v>542</v>
      </c>
      <c r="C270" s="178" t="s">
        <v>543</v>
      </c>
      <c r="D270" s="192" t="s">
        <v>253</v>
      </c>
      <c r="E270" s="192">
        <v>1</v>
      </c>
      <c r="F270" s="193">
        <v>294.5</v>
      </c>
      <c r="G270" s="114">
        <f t="shared" si="10"/>
        <v>294.5</v>
      </c>
      <c r="H270" s="194" t="s">
        <v>530</v>
      </c>
    </row>
    <row r="271" spans="1:8" s="194" customFormat="1" ht="36">
      <c r="A271" s="183" t="s">
        <v>217</v>
      </c>
      <c r="B271" s="191" t="s">
        <v>434</v>
      </c>
      <c r="C271" s="178" t="s">
        <v>505</v>
      </c>
      <c r="D271" s="192" t="s">
        <v>436</v>
      </c>
      <c r="E271" s="192">
        <f>5</f>
        <v>5</v>
      </c>
      <c r="F271" s="193">
        <v>1286.32</v>
      </c>
      <c r="G271" s="114">
        <f t="shared" si="10"/>
        <v>6431.6</v>
      </c>
      <c r="H271" s="194" t="s">
        <v>530</v>
      </c>
    </row>
    <row r="272" spans="1:8" s="194" customFormat="1" ht="24">
      <c r="A272" s="183" t="s">
        <v>221</v>
      </c>
      <c r="B272" s="191" t="s">
        <v>271</v>
      </c>
      <c r="C272" s="178" t="s">
        <v>507</v>
      </c>
      <c r="D272" s="192" t="s">
        <v>273</v>
      </c>
      <c r="E272" s="192">
        <f>34</f>
        <v>34</v>
      </c>
      <c r="F272" s="193">
        <v>52.66</v>
      </c>
      <c r="G272" s="114">
        <f t="shared" si="10"/>
        <v>1790.44</v>
      </c>
      <c r="H272" s="194" t="s">
        <v>530</v>
      </c>
    </row>
    <row r="273" spans="1:10" s="194" customFormat="1" ht="24">
      <c r="A273" s="183" t="s">
        <v>225</v>
      </c>
      <c r="B273" s="191" t="s">
        <v>350</v>
      </c>
      <c r="C273" s="178" t="s">
        <v>351</v>
      </c>
      <c r="D273" s="192" t="s">
        <v>352</v>
      </c>
      <c r="E273" s="192">
        <f>33+19</f>
        <v>52</v>
      </c>
      <c r="F273" s="193">
        <v>1794.63</v>
      </c>
      <c r="G273" s="114">
        <f t="shared" si="10"/>
        <v>93320.76</v>
      </c>
      <c r="H273" s="194" t="s">
        <v>530</v>
      </c>
    </row>
    <row r="274" spans="1:10" s="168" customFormat="1" ht="48">
      <c r="A274" s="183" t="s">
        <v>229</v>
      </c>
      <c r="B274" s="110" t="s">
        <v>438</v>
      </c>
      <c r="C274" s="178" t="s">
        <v>508</v>
      </c>
      <c r="D274" s="192" t="s">
        <v>253</v>
      </c>
      <c r="E274" s="180">
        <f>2+1</f>
        <v>3</v>
      </c>
      <c r="F274" s="112">
        <v>1168.74</v>
      </c>
      <c r="G274" s="114">
        <f t="shared" si="10"/>
        <v>3506.22</v>
      </c>
      <c r="H274" s="194" t="s">
        <v>530</v>
      </c>
    </row>
    <row r="275" spans="1:10" s="194" customFormat="1" ht="24">
      <c r="A275" s="183" t="s">
        <v>232</v>
      </c>
      <c r="B275" s="191" t="s">
        <v>604</v>
      </c>
      <c r="C275" s="178" t="s">
        <v>605</v>
      </c>
      <c r="D275" s="192" t="s">
        <v>606</v>
      </c>
      <c r="E275" s="192">
        <v>49.9</v>
      </c>
      <c r="F275" s="193">
        <v>365.12</v>
      </c>
      <c r="G275" s="114">
        <f t="shared" si="10"/>
        <v>18219.490000000002</v>
      </c>
      <c r="H275" s="194" t="s">
        <v>530</v>
      </c>
    </row>
    <row r="276" spans="1:10" s="194" customFormat="1" ht="24">
      <c r="A276" s="183" t="s">
        <v>235</v>
      </c>
      <c r="B276" s="191" t="s">
        <v>607</v>
      </c>
      <c r="C276" s="178" t="s">
        <v>608</v>
      </c>
      <c r="D276" s="192" t="s">
        <v>606</v>
      </c>
      <c r="E276" s="192">
        <v>49.9</v>
      </c>
      <c r="F276" s="193">
        <v>413.74</v>
      </c>
      <c r="G276" s="114">
        <f t="shared" si="10"/>
        <v>20645.63</v>
      </c>
      <c r="H276" s="194" t="s">
        <v>530</v>
      </c>
    </row>
    <row r="277" spans="1:10" s="182" customFormat="1" ht="24">
      <c r="A277" s="183" t="s">
        <v>238</v>
      </c>
      <c r="B277" s="189" t="s">
        <v>275</v>
      </c>
      <c r="C277" s="110" t="s">
        <v>276</v>
      </c>
      <c r="D277" s="111" t="s">
        <v>224</v>
      </c>
      <c r="E277" s="111">
        <f>2+4+3+2+3+3</f>
        <v>17</v>
      </c>
      <c r="F277" s="234">
        <v>255.83</v>
      </c>
      <c r="G277" s="114">
        <f t="shared" si="10"/>
        <v>4349.1099999999997</v>
      </c>
      <c r="H277" s="194" t="s">
        <v>530</v>
      </c>
    </row>
    <row r="278" spans="1:10" s="182" customFormat="1">
      <c r="A278" s="491" t="s">
        <v>696</v>
      </c>
      <c r="B278" s="492"/>
      <c r="C278" s="492"/>
      <c r="D278" s="330"/>
      <c r="E278" s="330"/>
      <c r="F278" s="331"/>
      <c r="G278" s="114">
        <f t="shared" si="10"/>
        <v>0</v>
      </c>
      <c r="H278" s="194" t="s">
        <v>530</v>
      </c>
    </row>
    <row r="279" spans="1:10" s="194" customFormat="1" ht="24">
      <c r="A279" s="183" t="s">
        <v>241</v>
      </c>
      <c r="B279" s="191" t="s">
        <v>542</v>
      </c>
      <c r="C279" s="178" t="s">
        <v>697</v>
      </c>
      <c r="D279" s="192" t="s">
        <v>253</v>
      </c>
      <c r="E279" s="192">
        <v>5</v>
      </c>
      <c r="F279" s="193">
        <v>294.5</v>
      </c>
      <c r="G279" s="114">
        <f t="shared" si="10"/>
        <v>1472.5</v>
      </c>
      <c r="H279" s="194" t="s">
        <v>530</v>
      </c>
    </row>
    <row r="280" spans="1:10" s="168" customFormat="1" ht="24">
      <c r="A280" s="166">
        <v>34</v>
      </c>
      <c r="B280" s="110" t="s">
        <v>698</v>
      </c>
      <c r="C280" s="178" t="s">
        <v>699</v>
      </c>
      <c r="D280" s="192" t="s">
        <v>700</v>
      </c>
      <c r="E280" s="180">
        <v>0.1</v>
      </c>
      <c r="F280" s="112">
        <v>23929.09</v>
      </c>
      <c r="G280" s="114">
        <f t="shared" si="10"/>
        <v>2392.91</v>
      </c>
      <c r="H280" s="194" t="s">
        <v>530</v>
      </c>
      <c r="I280" s="195"/>
      <c r="J280" s="195"/>
    </row>
    <row r="281" spans="1:10" s="168" customFormat="1" ht="24">
      <c r="A281" s="183" t="s">
        <v>244</v>
      </c>
      <c r="B281" s="110" t="s">
        <v>701</v>
      </c>
      <c r="C281" s="178" t="s">
        <v>702</v>
      </c>
      <c r="D281" s="192" t="s">
        <v>228</v>
      </c>
      <c r="E281" s="180">
        <v>0.5</v>
      </c>
      <c r="F281" s="112">
        <v>10971.35</v>
      </c>
      <c r="G281" s="114">
        <f t="shared" si="10"/>
        <v>5485.68</v>
      </c>
      <c r="H281" s="194" t="s">
        <v>530</v>
      </c>
      <c r="I281" s="195"/>
      <c r="J281" s="195"/>
    </row>
    <row r="282" spans="1:10" s="168" customFormat="1" ht="24">
      <c r="A282" s="166">
        <v>35</v>
      </c>
      <c r="B282" s="110" t="s">
        <v>703</v>
      </c>
      <c r="C282" s="178" t="s">
        <v>704</v>
      </c>
      <c r="D282" s="192" t="s">
        <v>220</v>
      </c>
      <c r="E282" s="180">
        <v>0.2</v>
      </c>
      <c r="F282" s="112">
        <v>51759.42</v>
      </c>
      <c r="G282" s="114">
        <f t="shared" si="10"/>
        <v>10351.879999999999</v>
      </c>
      <c r="H282" s="194" t="s">
        <v>530</v>
      </c>
      <c r="I282" s="195"/>
      <c r="J282" s="195"/>
    </row>
    <row r="283" spans="1:10" s="168" customFormat="1" ht="36">
      <c r="A283" s="183" t="s">
        <v>247</v>
      </c>
      <c r="B283" s="110" t="s">
        <v>438</v>
      </c>
      <c r="C283" s="178" t="s">
        <v>705</v>
      </c>
      <c r="D283" s="192" t="s">
        <v>253</v>
      </c>
      <c r="E283" s="180">
        <v>10</v>
      </c>
      <c r="F283" s="112">
        <v>1168.74</v>
      </c>
      <c r="G283" s="114">
        <f t="shared" si="10"/>
        <v>11687.4</v>
      </c>
      <c r="H283" s="194" t="s">
        <v>530</v>
      </c>
      <c r="I283" s="195"/>
      <c r="J283" s="195"/>
    </row>
    <row r="284" spans="1:10" s="168" customFormat="1" ht="36">
      <c r="A284" s="166">
        <v>36</v>
      </c>
      <c r="B284" s="110" t="s">
        <v>706</v>
      </c>
      <c r="C284" s="178" t="s">
        <v>707</v>
      </c>
      <c r="D284" s="192" t="s">
        <v>253</v>
      </c>
      <c r="E284" s="180">
        <v>11</v>
      </c>
      <c r="F284" s="112">
        <f>1168.74*0.3</f>
        <v>350.62200000000001</v>
      </c>
      <c r="G284" s="114">
        <f t="shared" si="10"/>
        <v>3856.84</v>
      </c>
      <c r="H284" s="194" t="s">
        <v>530</v>
      </c>
      <c r="I284" s="195"/>
      <c r="J284" s="195"/>
    </row>
    <row r="285" spans="1:10" s="176" customFormat="1">
      <c r="A285" s="169"/>
      <c r="B285" s="170"/>
      <c r="C285" s="171" t="s">
        <v>691</v>
      </c>
      <c r="D285" s="172"/>
      <c r="E285" s="173"/>
      <c r="F285" s="174"/>
      <c r="G285" s="175">
        <f>SUM(G262:G284)</f>
        <v>197670.77</v>
      </c>
    </row>
    <row r="286" spans="1:10" s="32" customFormat="1">
      <c r="A286" s="25"/>
      <c r="B286" s="26"/>
      <c r="C286" s="27" t="s">
        <v>51</v>
      </c>
      <c r="D286" s="28"/>
      <c r="E286" s="29"/>
      <c r="F286" s="30"/>
      <c r="G286" s="31">
        <f>G54+G78+G87+G147+G176+G205+G244+G261+G285</f>
        <v>1616497.68</v>
      </c>
    </row>
    <row r="287" spans="1:10" s="32" customFormat="1">
      <c r="A287" s="101"/>
      <c r="B287" s="102"/>
      <c r="C287" s="103"/>
      <c r="D287" s="104"/>
      <c r="E287" s="105"/>
      <c r="F287" s="106"/>
      <c r="G287" s="107"/>
    </row>
    <row r="288" spans="1:10" s="32" customFormat="1">
      <c r="A288" s="101"/>
      <c r="B288" s="102"/>
      <c r="C288" s="103"/>
      <c r="D288" s="104"/>
      <c r="E288" s="105"/>
      <c r="F288" s="106"/>
      <c r="G288" s="107"/>
    </row>
    <row r="289" spans="1:7" customFormat="1" ht="15">
      <c r="B289" s="487" t="s">
        <v>52</v>
      </c>
      <c r="C289" s="487"/>
      <c r="D289" s="488"/>
    </row>
    <row r="290" spans="1:7" s="53" customFormat="1" ht="15">
      <c r="B290" s="489" t="s">
        <v>53</v>
      </c>
      <c r="C290" s="489"/>
      <c r="D290" s="490"/>
      <c r="E290" s="490"/>
      <c r="F290" s="490"/>
      <c r="G290" s="490"/>
    </row>
    <row r="291" spans="1:7" s="55" customFormat="1">
      <c r="A291" s="54"/>
      <c r="B291" s="486"/>
      <c r="C291" s="486"/>
      <c r="D291" s="486"/>
      <c r="E291" s="486"/>
      <c r="F291" s="486"/>
      <c r="G291" s="486"/>
    </row>
    <row r="292" spans="1:7" customFormat="1" ht="15">
      <c r="B292" s="487" t="s">
        <v>54</v>
      </c>
      <c r="C292" s="487"/>
      <c r="D292" s="1"/>
    </row>
    <row r="293" spans="1:7" customFormat="1" ht="15">
      <c r="B293" s="487" t="s">
        <v>135</v>
      </c>
      <c r="C293" s="487"/>
      <c r="D293" s="488"/>
      <c r="E293" s="488"/>
      <c r="F293" s="488"/>
      <c r="G293" s="488"/>
    </row>
  </sheetData>
  <mergeCells count="29">
    <mergeCell ref="B291:G291"/>
    <mergeCell ref="B292:C292"/>
    <mergeCell ref="B293:G293"/>
    <mergeCell ref="A278:C278"/>
    <mergeCell ref="D15:D16"/>
    <mergeCell ref="E15:E16"/>
    <mergeCell ref="F15:G15"/>
    <mergeCell ref="B19:E19"/>
    <mergeCell ref="B289:D289"/>
    <mergeCell ref="B290:G290"/>
    <mergeCell ref="C10:D10"/>
    <mergeCell ref="E10:G10"/>
    <mergeCell ref="E11:G11"/>
    <mergeCell ref="E12:G12"/>
    <mergeCell ref="C13:D13"/>
    <mergeCell ref="E13:G13"/>
    <mergeCell ref="A7:C7"/>
    <mergeCell ref="E7:G7"/>
    <mergeCell ref="A8:C8"/>
    <mergeCell ref="E8:G8"/>
    <mergeCell ref="A9:C9"/>
    <mergeCell ref="E9:G9"/>
    <mergeCell ref="A6:C6"/>
    <mergeCell ref="E6:G6"/>
    <mergeCell ref="D1:G1"/>
    <mergeCell ref="D2:G2"/>
    <mergeCell ref="D3:G3"/>
    <mergeCell ref="C4:D5"/>
    <mergeCell ref="E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opLeftCell="A122" workbookViewId="0">
      <selection activeCell="A36" sqref="A36:XFD36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4" style="1" customWidth="1"/>
    <col min="8" max="8" width="17.5703125" style="1" customWidth="1"/>
    <col min="9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41"/>
      <c r="F4" s="142" t="s">
        <v>29</v>
      </c>
      <c r="G4" s="143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40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40" t="s">
        <v>32</v>
      </c>
      <c r="E7" s="418"/>
      <c r="F7" s="418"/>
      <c r="G7" s="418"/>
    </row>
    <row r="8" spans="1:7" customFormat="1" ht="15">
      <c r="A8" s="408" t="s">
        <v>136</v>
      </c>
      <c r="B8" s="408"/>
      <c r="C8" s="408"/>
      <c r="D8" s="140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44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44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66"/>
      <c r="F14" s="145"/>
      <c r="G14" s="145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3"/>
      <c r="F16" s="43" t="s">
        <v>43</v>
      </c>
      <c r="G16" s="43" t="s">
        <v>44</v>
      </c>
    </row>
    <row r="17" spans="1:7" customFormat="1" ht="15">
      <c r="A17" s="34"/>
      <c r="B17" s="34"/>
      <c r="C17" s="44"/>
      <c r="D17" s="45" t="s">
        <v>45</v>
      </c>
      <c r="E17" s="52" t="s">
        <v>114</v>
      </c>
      <c r="F17" s="52" t="s">
        <v>48</v>
      </c>
      <c r="G17" s="52" t="s">
        <v>49</v>
      </c>
    </row>
    <row r="18" spans="1:7" customFormat="1" ht="15">
      <c r="A18" s="47"/>
      <c r="B18" s="48"/>
      <c r="C18" s="146" t="s">
        <v>46</v>
      </c>
      <c r="D18" s="49"/>
      <c r="E18" s="47"/>
      <c r="F18" s="50"/>
      <c r="G18" s="51"/>
    </row>
    <row r="19" spans="1:7" customFormat="1" ht="15">
      <c r="A19" s="47"/>
      <c r="B19" s="426" t="s">
        <v>50</v>
      </c>
      <c r="C19" s="426"/>
      <c r="D19" s="426"/>
      <c r="E19" s="426"/>
      <c r="F19" s="50"/>
      <c r="G19" s="51"/>
    </row>
    <row r="20" spans="1:7" ht="48">
      <c r="A20" s="5" t="s">
        <v>0</v>
      </c>
      <c r="B20" s="5" t="s">
        <v>20</v>
      </c>
      <c r="C20" s="6" t="s">
        <v>1</v>
      </c>
      <c r="D20" s="6" t="s">
        <v>2</v>
      </c>
      <c r="E20" s="367" t="s">
        <v>21</v>
      </c>
      <c r="F20" s="7" t="s">
        <v>23</v>
      </c>
      <c r="G20" s="7" t="s">
        <v>22</v>
      </c>
    </row>
    <row r="21" spans="1:7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7" s="357" customFormat="1" ht="48">
      <c r="A22" s="352"/>
      <c r="B22" s="353"/>
      <c r="C22" s="147" t="s">
        <v>137</v>
      </c>
      <c r="D22" s="147"/>
      <c r="E22" s="354"/>
      <c r="F22" s="355"/>
      <c r="G22" s="356">
        <v>1702913.74</v>
      </c>
    </row>
    <row r="23" spans="1:7" ht="24">
      <c r="A23" s="8">
        <v>1</v>
      </c>
      <c r="B23" s="12" t="s">
        <v>55</v>
      </c>
      <c r="C23" s="9" t="s">
        <v>3</v>
      </c>
      <c r="D23" s="13" t="s">
        <v>4</v>
      </c>
      <c r="E23" s="361">
        <v>3347.3119999999999</v>
      </c>
      <c r="F23" s="14"/>
      <c r="G23" s="16"/>
    </row>
    <row r="24" spans="1:7" ht="36">
      <c r="A24" s="8">
        <v>2</v>
      </c>
      <c r="B24" s="12" t="s">
        <v>56</v>
      </c>
      <c r="C24" s="9" t="s">
        <v>5</v>
      </c>
      <c r="D24" s="13" t="s">
        <v>6</v>
      </c>
      <c r="E24" s="368">
        <v>80.203999999999994</v>
      </c>
      <c r="F24" s="14"/>
      <c r="G24" s="16"/>
    </row>
    <row r="25" spans="1:7" ht="36">
      <c r="A25" s="8">
        <v>3</v>
      </c>
      <c r="B25" s="12" t="s">
        <v>57</v>
      </c>
      <c r="C25" s="9" t="s">
        <v>7</v>
      </c>
      <c r="D25" s="13" t="s">
        <v>4</v>
      </c>
      <c r="E25" s="361">
        <v>733.81200000000001</v>
      </c>
      <c r="F25" s="14"/>
      <c r="G25" s="16"/>
    </row>
    <row r="26" spans="1:7" ht="36">
      <c r="A26" s="8">
        <v>6</v>
      </c>
      <c r="B26" s="12" t="s">
        <v>60</v>
      </c>
      <c r="C26" s="9" t="s">
        <v>12</v>
      </c>
      <c r="D26" s="13" t="s">
        <v>4</v>
      </c>
      <c r="E26" s="361">
        <v>199.68</v>
      </c>
      <c r="F26" s="14"/>
      <c r="G26" s="16"/>
    </row>
    <row r="27" spans="1:7">
      <c r="A27" s="8">
        <v>7</v>
      </c>
      <c r="B27" s="12" t="s">
        <v>61</v>
      </c>
      <c r="C27" s="9" t="s">
        <v>13</v>
      </c>
      <c r="D27" s="13" t="s">
        <v>14</v>
      </c>
      <c r="E27" s="361">
        <v>257.60599999999999</v>
      </c>
      <c r="F27" s="14"/>
      <c r="G27" s="16"/>
    </row>
    <row r="28" spans="1:7" ht="36">
      <c r="A28" s="8">
        <v>9</v>
      </c>
      <c r="B28" s="12" t="s">
        <v>62</v>
      </c>
      <c r="C28" s="9" t="s">
        <v>15</v>
      </c>
      <c r="D28" s="13" t="s">
        <v>14</v>
      </c>
      <c r="E28" s="361">
        <v>16.64</v>
      </c>
      <c r="F28" s="14"/>
      <c r="G28" s="16"/>
    </row>
    <row r="29" spans="1:7" ht="36">
      <c r="A29" s="8">
        <v>10</v>
      </c>
      <c r="B29" s="12" t="s">
        <v>63</v>
      </c>
      <c r="C29" s="9" t="s">
        <v>16</v>
      </c>
      <c r="D29" s="13" t="s">
        <v>4</v>
      </c>
      <c r="E29" s="361">
        <v>88.198999999999998</v>
      </c>
      <c r="F29" s="14"/>
      <c r="G29" s="16"/>
    </row>
    <row r="30" spans="1:7" ht="36">
      <c r="A30" s="8">
        <v>14</v>
      </c>
      <c r="B30" s="12" t="s">
        <v>65</v>
      </c>
      <c r="C30" s="9" t="s">
        <v>19</v>
      </c>
      <c r="D30" s="13" t="s">
        <v>18</v>
      </c>
      <c r="E30" s="361">
        <v>1266.9359999999999</v>
      </c>
      <c r="F30" s="14"/>
      <c r="G30" s="16"/>
    </row>
    <row r="31" spans="1:7" s="32" customFormat="1">
      <c r="A31" s="101"/>
      <c r="B31" s="102"/>
      <c r="C31" s="103"/>
      <c r="D31" s="104"/>
      <c r="E31" s="105"/>
      <c r="F31" s="106"/>
      <c r="G31" s="107"/>
    </row>
    <row r="32" spans="1:7" s="24" customFormat="1" ht="36">
      <c r="A32" s="18"/>
      <c r="B32" s="19"/>
      <c r="C32" s="147" t="s">
        <v>138</v>
      </c>
      <c r="D32" s="20"/>
      <c r="E32" s="21"/>
      <c r="F32" s="22"/>
      <c r="G32" s="358">
        <v>1793688.98</v>
      </c>
    </row>
    <row r="33" spans="1:7" s="128" customFormat="1" ht="36">
      <c r="A33" s="125" t="s">
        <v>120</v>
      </c>
      <c r="B33" s="126" t="s">
        <v>130</v>
      </c>
      <c r="C33" s="127" t="s">
        <v>131</v>
      </c>
      <c r="D33" s="129" t="s">
        <v>119</v>
      </c>
      <c r="E33" s="359">
        <v>83</v>
      </c>
      <c r="F33" s="131"/>
      <c r="G33" s="16"/>
    </row>
    <row r="34" spans="1:7" customFormat="1" ht="36">
      <c r="A34" s="125" t="s">
        <v>122</v>
      </c>
      <c r="B34" s="126" t="s">
        <v>121</v>
      </c>
      <c r="C34" s="127" t="s">
        <v>123</v>
      </c>
      <c r="D34" s="131" t="s">
        <v>14</v>
      </c>
      <c r="E34" s="359">
        <v>150</v>
      </c>
      <c r="F34" s="131"/>
      <c r="G34" s="16"/>
    </row>
    <row r="35" spans="1:7" customFormat="1" ht="60">
      <c r="A35" s="125" t="s">
        <v>45</v>
      </c>
      <c r="B35" s="126" t="s">
        <v>144</v>
      </c>
      <c r="C35" s="127" t="s">
        <v>145</v>
      </c>
      <c r="D35" s="129" t="s">
        <v>146</v>
      </c>
      <c r="E35" s="359">
        <v>65.400000000000006</v>
      </c>
      <c r="F35" s="131"/>
      <c r="G35" s="16"/>
    </row>
    <row r="36" spans="1:7" s="128" customFormat="1" ht="36">
      <c r="A36" s="125" t="s">
        <v>147</v>
      </c>
      <c r="B36" s="126" t="s">
        <v>130</v>
      </c>
      <c r="C36" s="127" t="s">
        <v>131</v>
      </c>
      <c r="D36" s="129" t="s">
        <v>119</v>
      </c>
      <c r="E36" s="359">
        <v>30</v>
      </c>
      <c r="F36" s="131"/>
      <c r="G36" s="16"/>
    </row>
    <row r="37" spans="1:7" customFormat="1" ht="24.75">
      <c r="A37" s="125" t="s">
        <v>148</v>
      </c>
      <c r="B37" s="126" t="s">
        <v>149</v>
      </c>
      <c r="C37" s="127" t="s">
        <v>150</v>
      </c>
      <c r="D37" s="129" t="s">
        <v>151</v>
      </c>
      <c r="E37" s="359">
        <v>0.02</v>
      </c>
      <c r="F37" s="131"/>
      <c r="G37" s="16"/>
    </row>
    <row r="38" spans="1:7" customFormat="1" ht="48">
      <c r="A38" s="125" t="s">
        <v>162</v>
      </c>
      <c r="B38" s="126" t="s">
        <v>163</v>
      </c>
      <c r="C38" s="127" t="s">
        <v>164</v>
      </c>
      <c r="D38" s="129" t="s">
        <v>18</v>
      </c>
      <c r="E38" s="359">
        <v>1759.58</v>
      </c>
      <c r="F38" s="131"/>
      <c r="G38" s="16"/>
    </row>
    <row r="39" spans="1:7" s="209" customFormat="1" ht="48">
      <c r="A39" s="177" t="s">
        <v>147</v>
      </c>
      <c r="B39" s="191" t="s">
        <v>523</v>
      </c>
      <c r="C39" s="178" t="s">
        <v>524</v>
      </c>
      <c r="D39" s="230" t="s">
        <v>146</v>
      </c>
      <c r="E39" s="360">
        <v>56</v>
      </c>
      <c r="F39" s="181"/>
      <c r="G39" s="114"/>
    </row>
    <row r="40" spans="1:7" s="32" customFormat="1">
      <c r="A40" s="101"/>
      <c r="B40" s="102"/>
      <c r="C40" s="103"/>
      <c r="D40" s="104"/>
      <c r="E40" s="105"/>
      <c r="F40" s="106"/>
      <c r="G40" s="107"/>
    </row>
    <row r="41" spans="1:7" s="24" customFormat="1" ht="24">
      <c r="A41" s="18"/>
      <c r="B41" s="19"/>
      <c r="C41" s="147" t="s">
        <v>309</v>
      </c>
      <c r="D41" s="20"/>
      <c r="E41" s="21"/>
      <c r="F41" s="22"/>
      <c r="G41" s="358">
        <v>204503.94</v>
      </c>
    </row>
    <row r="42" spans="1:7" ht="45.6" customHeight="1">
      <c r="A42" s="8" t="s">
        <v>173</v>
      </c>
      <c r="B42" s="126" t="s">
        <v>174</v>
      </c>
      <c r="C42" s="9" t="s">
        <v>175</v>
      </c>
      <c r="D42" s="13" t="s">
        <v>176</v>
      </c>
      <c r="E42" s="369">
        <v>36.9</v>
      </c>
      <c r="F42" s="14"/>
      <c r="G42" s="16"/>
    </row>
    <row r="43" spans="1:7" ht="50.45" customHeight="1">
      <c r="A43" s="8" t="s">
        <v>177</v>
      </c>
      <c r="B43" s="126" t="s">
        <v>178</v>
      </c>
      <c r="C43" s="9" t="s">
        <v>179</v>
      </c>
      <c r="D43" s="13" t="s">
        <v>180</v>
      </c>
      <c r="E43" s="369">
        <v>409.4</v>
      </c>
      <c r="F43" s="14"/>
      <c r="G43" s="16"/>
    </row>
    <row r="44" spans="1:7" ht="45.6" customHeight="1">
      <c r="A44" s="8" t="s">
        <v>181</v>
      </c>
      <c r="B44" s="126" t="s">
        <v>182</v>
      </c>
      <c r="C44" s="9" t="s">
        <v>183</v>
      </c>
      <c r="D44" s="13" t="s">
        <v>184</v>
      </c>
      <c r="E44" s="369">
        <v>0.16400000000000001</v>
      </c>
      <c r="F44" s="14"/>
      <c r="G44" s="16"/>
    </row>
    <row r="45" spans="1:7" ht="42.6" customHeight="1">
      <c r="A45" s="8" t="s">
        <v>188</v>
      </c>
      <c r="B45" s="126" t="s">
        <v>189</v>
      </c>
      <c r="C45" s="9" t="s">
        <v>164</v>
      </c>
      <c r="D45" s="13" t="s">
        <v>18</v>
      </c>
      <c r="E45" s="369">
        <v>101.8</v>
      </c>
      <c r="F45" s="14"/>
      <c r="G45" s="16"/>
    </row>
    <row r="46" spans="1:7" s="115" customFormat="1" ht="30.6" customHeight="1">
      <c r="A46" s="267" t="s">
        <v>624</v>
      </c>
      <c r="B46" s="191" t="s">
        <v>625</v>
      </c>
      <c r="C46" s="110" t="s">
        <v>626</v>
      </c>
      <c r="D46" s="111" t="s">
        <v>195</v>
      </c>
      <c r="E46" s="370">
        <v>0.26800000000000002</v>
      </c>
      <c r="F46" s="113"/>
      <c r="G46" s="114"/>
    </row>
    <row r="47" spans="1:7" s="115" customFormat="1" ht="27.6" customHeight="1">
      <c r="A47" s="267" t="s">
        <v>628</v>
      </c>
      <c r="B47" s="191" t="s">
        <v>629</v>
      </c>
      <c r="C47" s="110" t="s">
        <v>630</v>
      </c>
      <c r="D47" s="111" t="s">
        <v>195</v>
      </c>
      <c r="E47" s="370">
        <v>0.14000000000000001</v>
      </c>
      <c r="F47" s="113"/>
      <c r="G47" s="114"/>
    </row>
    <row r="49" spans="1:8" s="24" customFormat="1" ht="48">
      <c r="A49" s="18"/>
      <c r="B49" s="19"/>
      <c r="C49" s="147" t="s">
        <v>139</v>
      </c>
      <c r="D49" s="20"/>
      <c r="E49" s="21"/>
      <c r="F49" s="22"/>
      <c r="G49" s="358">
        <v>5099138.91</v>
      </c>
    </row>
    <row r="50" spans="1:8" s="33" customFormat="1" ht="24">
      <c r="A50" s="132">
        <v>17</v>
      </c>
      <c r="B50" s="9" t="s">
        <v>124</v>
      </c>
      <c r="C50" s="9" t="s">
        <v>125</v>
      </c>
      <c r="D50" s="13" t="s">
        <v>14</v>
      </c>
      <c r="E50" s="364">
        <v>136.69999999999999</v>
      </c>
      <c r="F50" s="15"/>
      <c r="G50" s="16"/>
      <c r="H50" s="363"/>
    </row>
    <row r="51" spans="1:8" s="33" customFormat="1" ht="36">
      <c r="A51" s="132">
        <v>18</v>
      </c>
      <c r="B51" s="9" t="s">
        <v>126</v>
      </c>
      <c r="C51" s="9" t="s">
        <v>127</v>
      </c>
      <c r="D51" s="13" t="s">
        <v>18</v>
      </c>
      <c r="E51" s="361">
        <v>2676.6</v>
      </c>
      <c r="F51" s="15"/>
      <c r="G51" s="16"/>
      <c r="H51" s="100"/>
    </row>
    <row r="52" spans="1:8" s="33" customFormat="1" ht="48">
      <c r="A52" s="132">
        <v>19</v>
      </c>
      <c r="B52" s="9" t="s">
        <v>128</v>
      </c>
      <c r="C52" s="9" t="s">
        <v>129</v>
      </c>
      <c r="D52" s="13" t="s">
        <v>18</v>
      </c>
      <c r="E52" s="361">
        <v>2676.6</v>
      </c>
      <c r="F52" s="15"/>
      <c r="G52" s="16"/>
      <c r="H52" s="100"/>
    </row>
    <row r="53" spans="1:8" s="33" customFormat="1" ht="24">
      <c r="A53" s="132">
        <v>15</v>
      </c>
      <c r="B53" s="9" t="s">
        <v>190</v>
      </c>
      <c r="C53" s="9" t="s">
        <v>191</v>
      </c>
      <c r="D53" s="13" t="s">
        <v>192</v>
      </c>
      <c r="E53" s="361">
        <v>3921</v>
      </c>
      <c r="F53" s="15"/>
      <c r="G53" s="16"/>
      <c r="H53" s="100"/>
    </row>
    <row r="54" spans="1:8" s="33" customFormat="1" ht="24">
      <c r="A54" s="132">
        <v>16</v>
      </c>
      <c r="B54" s="9" t="s">
        <v>193</v>
      </c>
      <c r="C54" s="9" t="s">
        <v>194</v>
      </c>
      <c r="D54" s="13" t="s">
        <v>195</v>
      </c>
      <c r="E54" s="361">
        <v>15.683999999999999</v>
      </c>
      <c r="F54" s="15"/>
      <c r="G54" s="16"/>
      <c r="H54" s="100"/>
    </row>
    <row r="55" spans="1:8" s="33" customFormat="1" ht="36">
      <c r="A55" s="132">
        <v>17</v>
      </c>
      <c r="B55" s="9" t="s">
        <v>196</v>
      </c>
      <c r="C55" s="9" t="s">
        <v>197</v>
      </c>
      <c r="D55" s="13" t="s">
        <v>18</v>
      </c>
      <c r="E55" s="361">
        <v>3921</v>
      </c>
      <c r="F55" s="15"/>
      <c r="G55" s="16"/>
      <c r="H55" s="100"/>
    </row>
    <row r="56" spans="1:8" s="33" customFormat="1" ht="36">
      <c r="A56" s="132">
        <v>19</v>
      </c>
      <c r="B56" s="9" t="s">
        <v>198</v>
      </c>
      <c r="C56" s="9" t="s">
        <v>199</v>
      </c>
      <c r="D56" s="13" t="s">
        <v>18</v>
      </c>
      <c r="E56" s="361">
        <v>3921</v>
      </c>
      <c r="F56" s="15"/>
      <c r="G56" s="16"/>
      <c r="H56" s="100"/>
    </row>
    <row r="57" spans="1:8" s="33" customFormat="1" ht="36">
      <c r="A57" s="132">
        <v>21</v>
      </c>
      <c r="B57" s="9" t="s">
        <v>200</v>
      </c>
      <c r="C57" s="9" t="s">
        <v>201</v>
      </c>
      <c r="D57" s="13" t="s">
        <v>18</v>
      </c>
      <c r="E57" s="361">
        <v>7842</v>
      </c>
      <c r="F57" s="15"/>
      <c r="G57" s="16"/>
      <c r="H57" s="100"/>
    </row>
    <row r="59" spans="1:8" s="24" customFormat="1" ht="24">
      <c r="A59" s="18"/>
      <c r="B59" s="19"/>
      <c r="C59" s="147" t="s">
        <v>310</v>
      </c>
      <c r="D59" s="371"/>
      <c r="E59" s="362"/>
      <c r="F59" s="22"/>
      <c r="G59" s="358">
        <v>5696058.3499999996</v>
      </c>
    </row>
    <row r="60" spans="1:8" s="151" customFormat="1" ht="24">
      <c r="A60" s="125" t="s">
        <v>202</v>
      </c>
      <c r="B60" s="125" t="s">
        <v>203</v>
      </c>
      <c r="C60" s="127" t="s">
        <v>204</v>
      </c>
      <c r="D60" s="372" t="s">
        <v>14</v>
      </c>
      <c r="E60" s="381">
        <v>98.64</v>
      </c>
      <c r="F60" s="131"/>
      <c r="G60" s="16"/>
    </row>
    <row r="61" spans="1:8" s="151" customFormat="1" ht="36">
      <c r="A61" s="125" t="s">
        <v>205</v>
      </c>
      <c r="B61" s="125" t="s">
        <v>206</v>
      </c>
      <c r="C61" s="127" t="s">
        <v>207</v>
      </c>
      <c r="D61" s="372" t="s">
        <v>208</v>
      </c>
      <c r="E61" s="381">
        <v>0.53</v>
      </c>
      <c r="F61" s="131"/>
      <c r="G61" s="16"/>
    </row>
    <row r="62" spans="1:8" s="151" customFormat="1" ht="36">
      <c r="A62" s="125" t="s">
        <v>209</v>
      </c>
      <c r="B62" s="125" t="s">
        <v>210</v>
      </c>
      <c r="C62" s="127" t="s">
        <v>211</v>
      </c>
      <c r="D62" s="372" t="s">
        <v>212</v>
      </c>
      <c r="E62" s="381">
        <v>0.5</v>
      </c>
      <c r="F62" s="131"/>
      <c r="G62" s="16"/>
    </row>
    <row r="63" spans="1:8" s="151" customFormat="1">
      <c r="A63" s="125" t="s">
        <v>213</v>
      </c>
      <c r="B63" s="125" t="s">
        <v>214</v>
      </c>
      <c r="C63" s="127" t="s">
        <v>215</v>
      </c>
      <c r="D63" s="372" t="s">
        <v>216</v>
      </c>
      <c r="E63" s="381">
        <v>120</v>
      </c>
      <c r="F63" s="131"/>
      <c r="G63" s="16"/>
    </row>
    <row r="64" spans="1:8" s="151" customFormat="1">
      <c r="A64" s="125" t="s">
        <v>217</v>
      </c>
      <c r="B64" s="125" t="s">
        <v>218</v>
      </c>
      <c r="C64" s="127" t="s">
        <v>219</v>
      </c>
      <c r="D64" s="372" t="s">
        <v>220</v>
      </c>
      <c r="E64" s="381">
        <v>12.4</v>
      </c>
      <c r="F64" s="131"/>
      <c r="G64" s="16"/>
    </row>
    <row r="65" spans="1:7" s="151" customFormat="1" ht="36">
      <c r="A65" s="125" t="s">
        <v>221</v>
      </c>
      <c r="B65" s="152" t="s">
        <v>222</v>
      </c>
      <c r="C65" s="9" t="s">
        <v>223</v>
      </c>
      <c r="D65" s="373" t="s">
        <v>224</v>
      </c>
      <c r="E65" s="381">
        <v>4652</v>
      </c>
      <c r="F65" s="153"/>
      <c r="G65" s="16"/>
    </row>
    <row r="66" spans="1:7" s="117" customFormat="1">
      <c r="A66" s="118"/>
      <c r="B66" s="119"/>
      <c r="C66" s="120" t="s">
        <v>167</v>
      </c>
      <c r="D66" s="374"/>
      <c r="E66" s="382"/>
      <c r="F66" s="123"/>
      <c r="G66" s="124"/>
    </row>
    <row r="67" spans="1:7" s="151" customFormat="1" ht="24">
      <c r="A67" s="125">
        <v>26</v>
      </c>
      <c r="B67" s="125" t="s">
        <v>316</v>
      </c>
      <c r="C67" s="127" t="s">
        <v>317</v>
      </c>
      <c r="D67" s="375" t="s">
        <v>318</v>
      </c>
      <c r="E67" s="381">
        <v>1.855</v>
      </c>
      <c r="F67" s="131"/>
      <c r="G67" s="16"/>
    </row>
    <row r="68" spans="1:7" s="151" customFormat="1" ht="33.75">
      <c r="A68" s="125">
        <v>35</v>
      </c>
      <c r="B68" s="125" t="s">
        <v>319</v>
      </c>
      <c r="C68" s="127" t="s">
        <v>320</v>
      </c>
      <c r="D68" s="375" t="s">
        <v>321</v>
      </c>
      <c r="E68" s="381">
        <v>260</v>
      </c>
      <c r="F68" s="131"/>
      <c r="G68" s="16"/>
    </row>
    <row r="69" spans="1:7" s="151" customFormat="1" ht="33.75">
      <c r="A69" s="125">
        <v>36</v>
      </c>
      <c r="B69" s="125" t="s">
        <v>322</v>
      </c>
      <c r="C69" s="127" t="s">
        <v>323</v>
      </c>
      <c r="D69" s="375" t="s">
        <v>321</v>
      </c>
      <c r="E69" s="381">
        <v>446</v>
      </c>
      <c r="F69" s="131"/>
      <c r="G69" s="16"/>
    </row>
    <row r="70" spans="1:7" s="151" customFormat="1" ht="24">
      <c r="A70" s="125">
        <v>37</v>
      </c>
      <c r="B70" s="125" t="s">
        <v>324</v>
      </c>
      <c r="C70" s="127" t="s">
        <v>325</v>
      </c>
      <c r="D70" s="375" t="s">
        <v>326</v>
      </c>
      <c r="E70" s="381">
        <v>4745</v>
      </c>
      <c r="F70" s="131"/>
      <c r="G70" s="16"/>
    </row>
    <row r="71" spans="1:7" s="151" customFormat="1" ht="33.75">
      <c r="A71" s="125">
        <v>38</v>
      </c>
      <c r="B71" s="125" t="s">
        <v>327</v>
      </c>
      <c r="C71" s="127" t="s">
        <v>328</v>
      </c>
      <c r="D71" s="375" t="s">
        <v>329</v>
      </c>
      <c r="E71" s="381">
        <v>125</v>
      </c>
      <c r="F71" s="131"/>
      <c r="G71" s="16"/>
    </row>
    <row r="72" spans="1:7" s="151" customFormat="1" ht="45">
      <c r="A72" s="125">
        <v>39</v>
      </c>
      <c r="B72" s="125" t="s">
        <v>330</v>
      </c>
      <c r="C72" s="127" t="s">
        <v>331</v>
      </c>
      <c r="D72" s="375" t="s">
        <v>332</v>
      </c>
      <c r="E72" s="381">
        <v>479.2</v>
      </c>
      <c r="F72" s="131"/>
      <c r="G72" s="16"/>
    </row>
    <row r="73" spans="1:7" s="151" customFormat="1" ht="36">
      <c r="A73" s="125">
        <v>40</v>
      </c>
      <c r="B73" s="125" t="s">
        <v>333</v>
      </c>
      <c r="C73" s="127" t="s">
        <v>334</v>
      </c>
      <c r="D73" s="375" t="s">
        <v>14</v>
      </c>
      <c r="E73" s="381">
        <v>62</v>
      </c>
      <c r="F73" s="131"/>
      <c r="G73" s="16"/>
    </row>
    <row r="74" spans="1:7" s="151" customFormat="1" ht="45">
      <c r="A74" s="125">
        <v>33</v>
      </c>
      <c r="B74" s="125" t="s">
        <v>373</v>
      </c>
      <c r="C74" s="127" t="s">
        <v>374</v>
      </c>
      <c r="D74" s="375" t="s">
        <v>375</v>
      </c>
      <c r="E74" s="381">
        <v>16</v>
      </c>
      <c r="F74" s="131"/>
      <c r="G74" s="16"/>
    </row>
    <row r="75" spans="1:7" s="151" customFormat="1" ht="24">
      <c r="A75" s="125">
        <v>42</v>
      </c>
      <c r="B75" s="125" t="s">
        <v>380</v>
      </c>
      <c r="C75" s="127" t="s">
        <v>381</v>
      </c>
      <c r="D75" s="375" t="s">
        <v>4</v>
      </c>
      <c r="E75" s="381">
        <v>3</v>
      </c>
      <c r="F75" s="131"/>
      <c r="G75" s="16"/>
    </row>
    <row r="76" spans="1:7" s="151" customFormat="1" ht="24">
      <c r="A76" s="125" t="s">
        <v>221</v>
      </c>
      <c r="B76" s="152" t="s">
        <v>222</v>
      </c>
      <c r="C76" s="9" t="s">
        <v>387</v>
      </c>
      <c r="D76" s="373" t="s">
        <v>224</v>
      </c>
      <c r="E76" s="381">
        <v>2556</v>
      </c>
      <c r="F76" s="153"/>
      <c r="G76" s="16"/>
    </row>
    <row r="77" spans="1:7" s="182" customFormat="1" ht="36">
      <c r="A77" s="177" t="s">
        <v>177</v>
      </c>
      <c r="B77" s="177" t="s">
        <v>403</v>
      </c>
      <c r="C77" s="178" t="s">
        <v>404</v>
      </c>
      <c r="D77" s="376" t="s">
        <v>405</v>
      </c>
      <c r="E77" s="383">
        <v>1.08</v>
      </c>
      <c r="F77" s="181"/>
      <c r="G77" s="114"/>
    </row>
    <row r="78" spans="1:7" s="182" customFormat="1" ht="45">
      <c r="A78" s="177" t="s">
        <v>181</v>
      </c>
      <c r="B78" s="177" t="s">
        <v>406</v>
      </c>
      <c r="C78" s="178" t="s">
        <v>407</v>
      </c>
      <c r="D78" s="376" t="s">
        <v>408</v>
      </c>
      <c r="E78" s="383">
        <v>1.2</v>
      </c>
      <c r="F78" s="181"/>
      <c r="G78" s="114"/>
    </row>
    <row r="79" spans="1:7" s="182" customFormat="1" ht="24">
      <c r="A79" s="177" t="s">
        <v>185</v>
      </c>
      <c r="B79" s="177" t="s">
        <v>409</v>
      </c>
      <c r="C79" s="178" t="s">
        <v>410</v>
      </c>
      <c r="D79" s="376" t="s">
        <v>379</v>
      </c>
      <c r="E79" s="383"/>
      <c r="F79" s="181"/>
      <c r="G79" s="114"/>
    </row>
    <row r="80" spans="1:7" s="182" customFormat="1">
      <c r="A80" s="177" t="s">
        <v>188</v>
      </c>
      <c r="B80" s="177" t="s">
        <v>411</v>
      </c>
      <c r="C80" s="178" t="s">
        <v>412</v>
      </c>
      <c r="D80" s="376" t="s">
        <v>220</v>
      </c>
      <c r="E80" s="383">
        <v>0.2</v>
      </c>
      <c r="F80" s="181"/>
      <c r="G80" s="114"/>
    </row>
    <row r="81" spans="1:7" s="182" customFormat="1" ht="24">
      <c r="A81" s="177" t="s">
        <v>413</v>
      </c>
      <c r="B81" s="177" t="s">
        <v>414</v>
      </c>
      <c r="C81" s="178" t="s">
        <v>415</v>
      </c>
      <c r="D81" s="377" t="s">
        <v>416</v>
      </c>
      <c r="E81" s="383"/>
      <c r="F81" s="181"/>
      <c r="G81" s="114"/>
    </row>
    <row r="82" spans="1:7" s="182" customFormat="1" ht="24">
      <c r="A82" s="177" t="s">
        <v>120</v>
      </c>
      <c r="B82" s="177" t="s">
        <v>417</v>
      </c>
      <c r="C82" s="178" t="s">
        <v>418</v>
      </c>
      <c r="D82" s="377" t="s">
        <v>14</v>
      </c>
      <c r="E82" s="383">
        <v>0.05</v>
      </c>
      <c r="F82" s="181"/>
      <c r="G82" s="114"/>
    </row>
    <row r="83" spans="1:7" s="182" customFormat="1">
      <c r="A83" s="177"/>
      <c r="B83" s="177" t="s">
        <v>479</v>
      </c>
      <c r="C83" s="178" t="s">
        <v>480</v>
      </c>
      <c r="D83" s="376" t="s">
        <v>216</v>
      </c>
      <c r="E83" s="383">
        <v>7.2</v>
      </c>
      <c r="F83" s="216"/>
      <c r="G83" s="114"/>
    </row>
    <row r="84" spans="1:7" s="219" customFormat="1" ht="24">
      <c r="A84" s="108"/>
      <c r="B84" s="109" t="s">
        <v>482</v>
      </c>
      <c r="C84" s="110" t="s">
        <v>483</v>
      </c>
      <c r="D84" s="378" t="s">
        <v>484</v>
      </c>
      <c r="E84" s="384">
        <v>12</v>
      </c>
      <c r="F84" s="112"/>
      <c r="G84" s="114"/>
    </row>
    <row r="85" spans="1:7" s="182" customFormat="1" ht="36">
      <c r="A85" s="177" t="s">
        <v>420</v>
      </c>
      <c r="B85" s="177" t="s">
        <v>531</v>
      </c>
      <c r="C85" s="178" t="s">
        <v>532</v>
      </c>
      <c r="D85" s="379" t="s">
        <v>533</v>
      </c>
      <c r="E85" s="383">
        <v>43.9</v>
      </c>
      <c r="F85" s="181"/>
      <c r="G85" s="114"/>
    </row>
    <row r="86" spans="1:7" s="182" customFormat="1" ht="36">
      <c r="A86" s="177" t="s">
        <v>421</v>
      </c>
      <c r="B86" s="177" t="s">
        <v>534</v>
      </c>
      <c r="C86" s="178" t="s">
        <v>535</v>
      </c>
      <c r="D86" s="379" t="s">
        <v>536</v>
      </c>
      <c r="E86" s="383">
        <v>60</v>
      </c>
      <c r="F86" s="181"/>
      <c r="G86" s="114"/>
    </row>
    <row r="87" spans="1:7" s="182" customFormat="1" ht="36">
      <c r="A87" s="177" t="s">
        <v>422</v>
      </c>
      <c r="B87" s="189" t="s">
        <v>537</v>
      </c>
      <c r="C87" s="110" t="s">
        <v>538</v>
      </c>
      <c r="D87" s="378" t="s">
        <v>224</v>
      </c>
      <c r="E87" s="383">
        <v>80</v>
      </c>
      <c r="F87" s="190"/>
      <c r="G87" s="114"/>
    </row>
    <row r="88" spans="1:7" s="209" customFormat="1" ht="24.75">
      <c r="A88" s="177" t="s">
        <v>205</v>
      </c>
      <c r="B88" s="191" t="s">
        <v>149</v>
      </c>
      <c r="C88" s="178" t="s">
        <v>573</v>
      </c>
      <c r="D88" s="380" t="s">
        <v>151</v>
      </c>
      <c r="E88" s="385">
        <v>2</v>
      </c>
      <c r="F88" s="181"/>
      <c r="G88" s="114"/>
    </row>
    <row r="89" spans="1:7" s="182" customFormat="1" ht="33.75">
      <c r="A89" s="177" t="s">
        <v>209</v>
      </c>
      <c r="B89" s="256" t="s">
        <v>574</v>
      </c>
      <c r="C89" s="178" t="s">
        <v>575</v>
      </c>
      <c r="D89" s="377" t="s">
        <v>576</v>
      </c>
      <c r="E89" s="383">
        <v>20</v>
      </c>
      <c r="F89" s="181"/>
      <c r="G89" s="114"/>
    </row>
    <row r="90" spans="1:7" s="182" customFormat="1" ht="36">
      <c r="A90" s="177" t="s">
        <v>217</v>
      </c>
      <c r="B90" s="189" t="s">
        <v>537</v>
      </c>
      <c r="C90" s="110" t="s">
        <v>577</v>
      </c>
      <c r="D90" s="378" t="s">
        <v>224</v>
      </c>
      <c r="E90" s="383">
        <v>32</v>
      </c>
      <c r="F90" s="190"/>
      <c r="G90" s="114"/>
    </row>
    <row r="91" spans="1:7" s="182" customFormat="1" ht="19.899999999999999" customHeight="1">
      <c r="A91" s="257"/>
      <c r="B91" s="258"/>
      <c r="C91" s="214" t="s">
        <v>581</v>
      </c>
      <c r="D91" s="257" t="s">
        <v>760</v>
      </c>
      <c r="E91" s="383">
        <v>0.1125</v>
      </c>
      <c r="F91" s="187"/>
    </row>
    <row r="92" spans="1:7" s="182" customFormat="1" ht="24">
      <c r="A92" s="177" t="s">
        <v>122</v>
      </c>
      <c r="B92" s="177" t="s">
        <v>479</v>
      </c>
      <c r="C92" s="178" t="s">
        <v>761</v>
      </c>
      <c r="D92" s="376" t="s">
        <v>216</v>
      </c>
      <c r="E92" s="383">
        <v>15</v>
      </c>
      <c r="F92" s="216"/>
      <c r="G92" s="114"/>
    </row>
    <row r="94" spans="1:7" s="24" customFormat="1" ht="48">
      <c r="A94" s="18"/>
      <c r="B94" s="19"/>
      <c r="C94" s="147" t="s">
        <v>370</v>
      </c>
      <c r="D94" s="20"/>
      <c r="E94" s="21"/>
      <c r="F94" s="22"/>
      <c r="G94" s="356">
        <v>596283.68000000005</v>
      </c>
    </row>
    <row r="95" spans="1:7" s="161" customFormat="1" ht="60">
      <c r="A95" s="8" t="s">
        <v>152</v>
      </c>
      <c r="B95" s="12" t="s">
        <v>363</v>
      </c>
      <c r="C95" s="9" t="s">
        <v>364</v>
      </c>
      <c r="D95" s="13" t="s">
        <v>14</v>
      </c>
      <c r="E95" s="361">
        <v>6.15</v>
      </c>
      <c r="F95" s="15"/>
      <c r="G95" s="14"/>
    </row>
    <row r="96" spans="1:7" s="161" customFormat="1" ht="48">
      <c r="A96" s="8" t="s">
        <v>173</v>
      </c>
      <c r="B96" s="12" t="s">
        <v>365</v>
      </c>
      <c r="C96" s="9" t="s">
        <v>366</v>
      </c>
      <c r="D96" s="13" t="s">
        <v>367</v>
      </c>
      <c r="E96" s="361">
        <v>0.71</v>
      </c>
      <c r="F96" s="15"/>
      <c r="G96" s="14"/>
    </row>
    <row r="97" spans="1:8" s="161" customFormat="1" ht="48">
      <c r="A97" s="8" t="s">
        <v>177</v>
      </c>
      <c r="B97" s="12" t="s">
        <v>368</v>
      </c>
      <c r="C97" s="9" t="s">
        <v>369</v>
      </c>
      <c r="D97" s="13" t="s">
        <v>367</v>
      </c>
      <c r="E97" s="361">
        <v>0.96</v>
      </c>
      <c r="F97" s="162"/>
      <c r="G97" s="14"/>
    </row>
    <row r="98" spans="1:8" s="161" customFormat="1" ht="24">
      <c r="A98" s="8"/>
      <c r="B98" s="12" t="s">
        <v>388</v>
      </c>
      <c r="C98" s="9" t="s">
        <v>389</v>
      </c>
      <c r="D98" s="13" t="s">
        <v>390</v>
      </c>
      <c r="E98" s="361">
        <v>12.75</v>
      </c>
      <c r="F98" s="162"/>
      <c r="G98" s="16"/>
    </row>
    <row r="99" spans="1:8" s="161" customFormat="1" ht="60">
      <c r="A99" s="8"/>
      <c r="B99" s="12" t="s">
        <v>363</v>
      </c>
      <c r="C99" s="9" t="s">
        <v>364</v>
      </c>
      <c r="D99" s="13" t="s">
        <v>14</v>
      </c>
      <c r="E99" s="361">
        <v>4.87</v>
      </c>
      <c r="F99" s="15"/>
      <c r="G99" s="16"/>
    </row>
    <row r="100" spans="1:8" s="161" customFormat="1" ht="48">
      <c r="A100" s="8"/>
      <c r="B100" s="12" t="s">
        <v>391</v>
      </c>
      <c r="C100" s="9" t="s">
        <v>392</v>
      </c>
      <c r="D100" s="13" t="s">
        <v>4</v>
      </c>
      <c r="E100" s="361">
        <v>1.5</v>
      </c>
      <c r="F100" s="15"/>
      <c r="G100" s="16"/>
    </row>
    <row r="101" spans="1:8" s="219" customFormat="1" ht="60">
      <c r="A101" s="108" t="s">
        <v>304</v>
      </c>
      <c r="B101" s="109" t="s">
        <v>482</v>
      </c>
      <c r="C101" s="110" t="s">
        <v>609</v>
      </c>
      <c r="D101" s="111" t="s">
        <v>484</v>
      </c>
      <c r="E101" s="386">
        <v>6</v>
      </c>
      <c r="F101" s="112"/>
      <c r="G101" s="114"/>
    </row>
    <row r="103" spans="1:8" s="24" customFormat="1" ht="24">
      <c r="A103" s="18"/>
      <c r="B103" s="19"/>
      <c r="C103" s="147" t="s">
        <v>312</v>
      </c>
      <c r="D103" s="20"/>
      <c r="E103" s="21"/>
      <c r="F103" s="22"/>
      <c r="G103" s="358">
        <v>1616497.68</v>
      </c>
      <c r="H103" s="351">
        <f>Лист7!G286</f>
        <v>1616497.68</v>
      </c>
    </row>
    <row r="104" spans="1:8" s="156" customFormat="1" ht="12">
      <c r="A104" s="154" t="s">
        <v>225</v>
      </c>
      <c r="B104" s="126" t="s">
        <v>226</v>
      </c>
      <c r="C104" s="127" t="s">
        <v>227</v>
      </c>
      <c r="D104" s="129" t="s">
        <v>228</v>
      </c>
      <c r="E104" s="155">
        <v>4.75</v>
      </c>
      <c r="F104" s="155"/>
      <c r="G104" s="16"/>
    </row>
    <row r="105" spans="1:8" s="156" customFormat="1" ht="24">
      <c r="A105" s="154" t="s">
        <v>229</v>
      </c>
      <c r="B105" s="126" t="s">
        <v>230</v>
      </c>
      <c r="C105" s="127" t="s">
        <v>231</v>
      </c>
      <c r="D105" s="129" t="s">
        <v>228</v>
      </c>
      <c r="E105" s="155">
        <v>1.55</v>
      </c>
      <c r="F105" s="155"/>
      <c r="G105" s="16"/>
    </row>
    <row r="106" spans="1:8" s="156" customFormat="1" ht="12">
      <c r="A106" s="154" t="s">
        <v>232</v>
      </c>
      <c r="B106" s="126" t="s">
        <v>233</v>
      </c>
      <c r="C106" s="127" t="s">
        <v>234</v>
      </c>
      <c r="D106" s="129" t="s">
        <v>228</v>
      </c>
      <c r="E106" s="155">
        <v>0.06</v>
      </c>
      <c r="F106" s="155"/>
      <c r="G106" s="16"/>
    </row>
    <row r="107" spans="1:8" s="156" customFormat="1" ht="12">
      <c r="A107" s="154" t="s">
        <v>235</v>
      </c>
      <c r="B107" s="126" t="s">
        <v>236</v>
      </c>
      <c r="C107" s="127" t="s">
        <v>237</v>
      </c>
      <c r="D107" s="129" t="s">
        <v>228</v>
      </c>
      <c r="E107" s="155">
        <v>0.12</v>
      </c>
      <c r="F107" s="155"/>
      <c r="G107" s="16"/>
    </row>
    <row r="108" spans="1:8" s="156" customFormat="1" ht="24">
      <c r="A108" s="154" t="s">
        <v>238</v>
      </c>
      <c r="B108" s="126" t="s">
        <v>239</v>
      </c>
      <c r="C108" s="127" t="s">
        <v>240</v>
      </c>
      <c r="D108" s="129" t="s">
        <v>228</v>
      </c>
      <c r="E108" s="155">
        <v>0.13</v>
      </c>
      <c r="F108" s="155"/>
      <c r="G108" s="16"/>
    </row>
    <row r="109" spans="1:8" s="156" customFormat="1" ht="12">
      <c r="A109" s="154" t="s">
        <v>241</v>
      </c>
      <c r="B109" s="126" t="s">
        <v>242</v>
      </c>
      <c r="C109" s="127" t="s">
        <v>243</v>
      </c>
      <c r="D109" s="129" t="s">
        <v>228</v>
      </c>
      <c r="E109" s="155">
        <v>0.05</v>
      </c>
      <c r="F109" s="155"/>
      <c r="G109" s="16"/>
    </row>
    <row r="110" spans="1:8" s="156" customFormat="1" ht="12">
      <c r="A110" s="154" t="s">
        <v>244</v>
      </c>
      <c r="B110" s="126" t="s">
        <v>245</v>
      </c>
      <c r="C110" s="127" t="s">
        <v>246</v>
      </c>
      <c r="D110" s="129" t="s">
        <v>228</v>
      </c>
      <c r="E110" s="155">
        <v>0.09</v>
      </c>
      <c r="F110" s="155"/>
      <c r="G110" s="16"/>
    </row>
    <row r="111" spans="1:8" s="156" customFormat="1" ht="24">
      <c r="A111" s="154" t="s">
        <v>247</v>
      </c>
      <c r="B111" s="126" t="s">
        <v>248</v>
      </c>
      <c r="C111" s="127" t="s">
        <v>249</v>
      </c>
      <c r="D111" s="129" t="s">
        <v>228</v>
      </c>
      <c r="E111" s="155">
        <v>0.66</v>
      </c>
      <c r="F111" s="155"/>
      <c r="G111" s="16"/>
    </row>
    <row r="112" spans="1:8" s="156" customFormat="1" ht="24">
      <c r="A112" s="154" t="s">
        <v>250</v>
      </c>
      <c r="B112" s="126" t="s">
        <v>251</v>
      </c>
      <c r="C112" s="127" t="s">
        <v>252</v>
      </c>
      <c r="D112" s="129" t="s">
        <v>253</v>
      </c>
      <c r="E112" s="155">
        <v>9</v>
      </c>
      <c r="F112" s="155"/>
      <c r="G112" s="16"/>
    </row>
    <row r="113" spans="1:8" s="156" customFormat="1" ht="24">
      <c r="A113" s="154" t="s">
        <v>254</v>
      </c>
      <c r="B113" s="126" t="s">
        <v>255</v>
      </c>
      <c r="C113" s="127" t="s">
        <v>256</v>
      </c>
      <c r="D113" s="129" t="s">
        <v>253</v>
      </c>
      <c r="E113" s="155">
        <v>13</v>
      </c>
      <c r="F113" s="155"/>
      <c r="G113" s="16"/>
    </row>
    <row r="114" spans="1:8" s="156" customFormat="1" ht="36">
      <c r="A114" s="154" t="s">
        <v>257</v>
      </c>
      <c r="B114" s="126" t="s">
        <v>258</v>
      </c>
      <c r="C114" s="127" t="s">
        <v>259</v>
      </c>
      <c r="D114" s="129" t="s">
        <v>253</v>
      </c>
      <c r="E114" s="155">
        <v>61</v>
      </c>
      <c r="F114" s="155"/>
      <c r="G114" s="16"/>
    </row>
    <row r="115" spans="1:8" s="156" customFormat="1" ht="36">
      <c r="A115" s="154" t="s">
        <v>260</v>
      </c>
      <c r="B115" s="126" t="s">
        <v>261</v>
      </c>
      <c r="C115" s="127" t="s">
        <v>262</v>
      </c>
      <c r="D115" s="129" t="s">
        <v>253</v>
      </c>
      <c r="E115" s="155">
        <v>62</v>
      </c>
      <c r="F115" s="155"/>
      <c r="G115" s="16"/>
    </row>
    <row r="116" spans="1:8" s="156" customFormat="1" ht="24">
      <c r="A116" s="154" t="s">
        <v>263</v>
      </c>
      <c r="B116" s="126" t="s">
        <v>264</v>
      </c>
      <c r="C116" s="127" t="s">
        <v>265</v>
      </c>
      <c r="D116" s="129" t="s">
        <v>228</v>
      </c>
      <c r="E116" s="155">
        <v>0.21</v>
      </c>
      <c r="F116" s="155"/>
      <c r="G116" s="16"/>
    </row>
    <row r="117" spans="1:8" s="156" customFormat="1" ht="12">
      <c r="A117" s="154" t="s">
        <v>266</v>
      </c>
      <c r="B117" s="126" t="s">
        <v>267</v>
      </c>
      <c r="C117" s="127" t="s">
        <v>268</v>
      </c>
      <c r="D117" s="129" t="s">
        <v>269</v>
      </c>
      <c r="E117" s="155">
        <v>0.65500000000000003</v>
      </c>
      <c r="F117" s="155"/>
      <c r="G117" s="16"/>
    </row>
    <row r="118" spans="1:8" s="156" customFormat="1" ht="24">
      <c r="A118" s="154" t="s">
        <v>270</v>
      </c>
      <c r="B118" s="126" t="s">
        <v>271</v>
      </c>
      <c r="C118" s="127" t="s">
        <v>272</v>
      </c>
      <c r="D118" s="129" t="s">
        <v>273</v>
      </c>
      <c r="E118" s="155">
        <v>844</v>
      </c>
      <c r="F118" s="155"/>
      <c r="G118" s="16"/>
    </row>
    <row r="119" spans="1:8" s="151" customFormat="1" ht="24">
      <c r="A119" s="154" t="s">
        <v>274</v>
      </c>
      <c r="B119" s="152" t="s">
        <v>275</v>
      </c>
      <c r="C119" s="9" t="s">
        <v>276</v>
      </c>
      <c r="D119" s="13" t="s">
        <v>224</v>
      </c>
      <c r="E119" s="401">
        <v>322</v>
      </c>
      <c r="F119" s="153"/>
      <c r="G119" s="16"/>
    </row>
    <row r="120" spans="1:8" s="156" customFormat="1" ht="36">
      <c r="A120" s="154"/>
      <c r="B120" s="126" t="s">
        <v>336</v>
      </c>
      <c r="C120" s="127" t="s">
        <v>337</v>
      </c>
      <c r="D120" s="129" t="s">
        <v>338</v>
      </c>
      <c r="E120" s="155">
        <v>2.7</v>
      </c>
      <c r="F120" s="155"/>
      <c r="G120" s="16"/>
      <c r="H120" s="156" t="s">
        <v>763</v>
      </c>
    </row>
    <row r="121" spans="1:8" s="156" customFormat="1" ht="36">
      <c r="A121" s="154"/>
      <c r="B121" s="126" t="s">
        <v>339</v>
      </c>
      <c r="C121" s="127" t="s">
        <v>340</v>
      </c>
      <c r="D121" s="129" t="s">
        <v>253</v>
      </c>
      <c r="E121" s="155">
        <v>18.07</v>
      </c>
      <c r="F121" s="155"/>
      <c r="G121" s="16"/>
    </row>
    <row r="122" spans="1:8" s="156" customFormat="1" ht="36">
      <c r="A122" s="154"/>
      <c r="B122" s="126" t="s">
        <v>341</v>
      </c>
      <c r="C122" s="127" t="s">
        <v>342</v>
      </c>
      <c r="D122" s="129" t="s">
        <v>343</v>
      </c>
      <c r="E122" s="155">
        <v>1</v>
      </c>
      <c r="F122" s="155"/>
      <c r="G122" s="16"/>
    </row>
    <row r="123" spans="1:8" s="156" customFormat="1" ht="60">
      <c r="A123" s="154"/>
      <c r="B123" s="126" t="s">
        <v>344</v>
      </c>
      <c r="C123" s="127" t="s">
        <v>345</v>
      </c>
      <c r="D123" s="129" t="s">
        <v>343</v>
      </c>
      <c r="E123" s="155">
        <v>2.6</v>
      </c>
      <c r="F123" s="155"/>
      <c r="G123" s="16"/>
    </row>
    <row r="124" spans="1:8" s="156" customFormat="1" ht="36">
      <c r="A124" s="154"/>
      <c r="B124" s="126" t="s">
        <v>346</v>
      </c>
      <c r="C124" s="127" t="s">
        <v>347</v>
      </c>
      <c r="D124" s="129" t="s">
        <v>253</v>
      </c>
      <c r="E124" s="155">
        <v>12</v>
      </c>
      <c r="F124" s="155"/>
      <c r="G124" s="16"/>
    </row>
    <row r="125" spans="1:8" s="156" customFormat="1" ht="48">
      <c r="A125" s="154"/>
      <c r="B125" s="126" t="s">
        <v>348</v>
      </c>
      <c r="C125" s="127" t="s">
        <v>349</v>
      </c>
      <c r="D125" s="129" t="s">
        <v>253</v>
      </c>
      <c r="E125" s="155">
        <v>3</v>
      </c>
      <c r="F125" s="155"/>
      <c r="G125" s="16"/>
    </row>
    <row r="126" spans="1:8" s="194" customFormat="1" ht="24">
      <c r="A126" s="183">
        <v>4</v>
      </c>
      <c r="B126" s="191" t="s">
        <v>424</v>
      </c>
      <c r="C126" s="178" t="s">
        <v>425</v>
      </c>
      <c r="D126" s="192" t="s">
        <v>228</v>
      </c>
      <c r="E126" s="193">
        <v>0.5</v>
      </c>
      <c r="F126" s="193"/>
      <c r="G126" s="114"/>
    </row>
    <row r="127" spans="1:8" s="194" customFormat="1" ht="12">
      <c r="A127" s="183">
        <v>7</v>
      </c>
      <c r="B127" s="191" t="s">
        <v>427</v>
      </c>
      <c r="C127" s="178" t="s">
        <v>428</v>
      </c>
      <c r="D127" s="192" t="s">
        <v>228</v>
      </c>
      <c r="E127" s="193">
        <v>0.01</v>
      </c>
      <c r="F127" s="193"/>
      <c r="G127" s="114"/>
    </row>
    <row r="128" spans="1:8" s="194" customFormat="1" ht="36">
      <c r="A128" s="183">
        <v>8</v>
      </c>
      <c r="B128" s="191" t="s">
        <v>429</v>
      </c>
      <c r="C128" s="178" t="s">
        <v>430</v>
      </c>
      <c r="D128" s="192" t="s">
        <v>253</v>
      </c>
      <c r="E128" s="193">
        <v>2</v>
      </c>
      <c r="F128" s="193"/>
      <c r="G128" s="114"/>
    </row>
    <row r="129" spans="1:8" s="194" customFormat="1" ht="36">
      <c r="A129" s="183">
        <v>9</v>
      </c>
      <c r="B129" s="191" t="s">
        <v>431</v>
      </c>
      <c r="C129" s="178" t="s">
        <v>432</v>
      </c>
      <c r="D129" s="192" t="s">
        <v>253</v>
      </c>
      <c r="E129" s="193">
        <v>24</v>
      </c>
      <c r="F129" s="193"/>
      <c r="G129" s="114"/>
      <c r="H129" s="194" t="s">
        <v>762</v>
      </c>
    </row>
    <row r="130" spans="1:8" s="194" customFormat="1" ht="36">
      <c r="A130" s="183">
        <v>14</v>
      </c>
      <c r="B130" s="191" t="s">
        <v>434</v>
      </c>
      <c r="C130" s="178" t="s">
        <v>435</v>
      </c>
      <c r="D130" s="192" t="s">
        <v>436</v>
      </c>
      <c r="E130" s="193">
        <v>40</v>
      </c>
      <c r="F130" s="193"/>
      <c r="G130" s="114"/>
    </row>
    <row r="131" spans="1:8" s="168" customFormat="1" ht="48">
      <c r="A131" s="183">
        <v>18</v>
      </c>
      <c r="B131" s="110" t="s">
        <v>438</v>
      </c>
      <c r="C131" s="178" t="s">
        <v>439</v>
      </c>
      <c r="D131" s="192" t="s">
        <v>253</v>
      </c>
      <c r="E131" s="402">
        <v>25</v>
      </c>
      <c r="F131" s="112"/>
      <c r="G131" s="114"/>
    </row>
    <row r="132" spans="1:8" s="168" customFormat="1" ht="36">
      <c r="A132" s="183">
        <v>19</v>
      </c>
      <c r="B132" s="110" t="s">
        <v>440</v>
      </c>
      <c r="C132" s="178" t="s">
        <v>441</v>
      </c>
      <c r="D132" s="192" t="s">
        <v>253</v>
      </c>
      <c r="E132" s="402">
        <v>2</v>
      </c>
      <c r="F132" s="112"/>
      <c r="G132" s="114"/>
    </row>
    <row r="133" spans="1:8" s="194" customFormat="1" ht="36">
      <c r="A133" s="183"/>
      <c r="B133" s="191" t="s">
        <v>487</v>
      </c>
      <c r="C133" s="178" t="s">
        <v>337</v>
      </c>
      <c r="D133" s="192" t="s">
        <v>338</v>
      </c>
      <c r="E133" s="193">
        <v>8.35</v>
      </c>
      <c r="F133" s="193"/>
      <c r="G133" s="114"/>
      <c r="H133" s="194" t="s">
        <v>764</v>
      </c>
    </row>
    <row r="134" spans="1:8" s="194" customFormat="1" ht="24">
      <c r="A134" s="183"/>
      <c r="B134" s="191" t="s">
        <v>489</v>
      </c>
      <c r="C134" s="178" t="s">
        <v>490</v>
      </c>
      <c r="D134" s="192" t="s">
        <v>269</v>
      </c>
      <c r="E134" s="193">
        <v>0.13</v>
      </c>
      <c r="F134" s="193"/>
      <c r="G134" s="114"/>
    </row>
    <row r="135" spans="1:8" s="194" customFormat="1" ht="12">
      <c r="A135" s="183" t="s">
        <v>238</v>
      </c>
      <c r="B135" s="191" t="s">
        <v>542</v>
      </c>
      <c r="C135" s="178" t="s">
        <v>543</v>
      </c>
      <c r="D135" s="192" t="s">
        <v>253</v>
      </c>
      <c r="E135" s="193">
        <v>2</v>
      </c>
      <c r="F135" s="193"/>
      <c r="G135" s="114"/>
    </row>
    <row r="136" spans="1:8" s="194" customFormat="1" ht="36">
      <c r="A136" s="183" t="s">
        <v>280</v>
      </c>
      <c r="B136" s="191" t="s">
        <v>600</v>
      </c>
      <c r="C136" s="178" t="s">
        <v>601</v>
      </c>
      <c r="D136" s="192" t="s">
        <v>343</v>
      </c>
      <c r="E136" s="193">
        <v>1.1000000000000001</v>
      </c>
      <c r="F136" s="193"/>
      <c r="G136" s="114"/>
    </row>
    <row r="137" spans="1:8" s="194" customFormat="1" ht="24">
      <c r="A137" s="183" t="s">
        <v>286</v>
      </c>
      <c r="B137" s="191" t="s">
        <v>602</v>
      </c>
      <c r="C137" s="178" t="s">
        <v>603</v>
      </c>
      <c r="D137" s="192" t="s">
        <v>253</v>
      </c>
      <c r="E137" s="193">
        <v>1</v>
      </c>
      <c r="F137" s="193"/>
      <c r="G137" s="114"/>
    </row>
    <row r="138" spans="1:8" s="194" customFormat="1" ht="24">
      <c r="A138" s="183" t="s">
        <v>297</v>
      </c>
      <c r="B138" s="191" t="s">
        <v>604</v>
      </c>
      <c r="C138" s="178" t="s">
        <v>605</v>
      </c>
      <c r="D138" s="192" t="s">
        <v>606</v>
      </c>
      <c r="E138" s="193">
        <v>49.9</v>
      </c>
      <c r="F138" s="193"/>
      <c r="G138" s="114"/>
    </row>
    <row r="139" spans="1:8" s="194" customFormat="1" ht="24">
      <c r="A139" s="183" t="s">
        <v>299</v>
      </c>
      <c r="B139" s="191" t="s">
        <v>607</v>
      </c>
      <c r="C139" s="178" t="s">
        <v>608</v>
      </c>
      <c r="D139" s="192" t="s">
        <v>606</v>
      </c>
      <c r="E139" s="193">
        <v>49.9</v>
      </c>
      <c r="F139" s="193"/>
      <c r="G139" s="114"/>
    </row>
    <row r="140" spans="1:8" s="391" customFormat="1">
      <c r="A140" s="427" t="s">
        <v>696</v>
      </c>
      <c r="B140" s="428"/>
      <c r="C140" s="428"/>
      <c r="D140" s="388"/>
      <c r="E140" s="388"/>
      <c r="F140" s="365"/>
      <c r="G140" s="389"/>
    </row>
    <row r="141" spans="1:8" s="390" customFormat="1" ht="24">
      <c r="A141" s="392" t="s">
        <v>241</v>
      </c>
      <c r="B141" s="387" t="s">
        <v>542</v>
      </c>
      <c r="C141" s="393" t="s">
        <v>697</v>
      </c>
      <c r="D141" s="394" t="s">
        <v>253</v>
      </c>
      <c r="E141" s="394">
        <v>5</v>
      </c>
      <c r="F141" s="395"/>
      <c r="G141" s="389"/>
    </row>
    <row r="142" spans="1:8" s="400" customFormat="1" ht="24">
      <c r="A142" s="396">
        <v>34</v>
      </c>
      <c r="B142" s="397" t="s">
        <v>698</v>
      </c>
      <c r="C142" s="393" t="s">
        <v>699</v>
      </c>
      <c r="D142" s="394" t="s">
        <v>700</v>
      </c>
      <c r="E142" s="398">
        <v>0.1</v>
      </c>
      <c r="F142" s="399"/>
      <c r="G142" s="389"/>
    </row>
    <row r="143" spans="1:8" s="400" customFormat="1" ht="24">
      <c r="A143" s="392" t="s">
        <v>244</v>
      </c>
      <c r="B143" s="397" t="s">
        <v>701</v>
      </c>
      <c r="C143" s="393" t="s">
        <v>702</v>
      </c>
      <c r="D143" s="394" t="s">
        <v>228</v>
      </c>
      <c r="E143" s="398">
        <v>0.5</v>
      </c>
      <c r="F143" s="399"/>
      <c r="G143" s="389"/>
    </row>
    <row r="144" spans="1:8" s="400" customFormat="1" ht="24">
      <c r="A144" s="396">
        <v>35</v>
      </c>
      <c r="B144" s="397" t="s">
        <v>703</v>
      </c>
      <c r="C144" s="393" t="s">
        <v>704</v>
      </c>
      <c r="D144" s="394" t="s">
        <v>220</v>
      </c>
      <c r="E144" s="398">
        <v>0.2</v>
      </c>
      <c r="F144" s="399"/>
      <c r="G144" s="389"/>
    </row>
    <row r="145" spans="1:7" s="400" customFormat="1" ht="36">
      <c r="A145" s="392" t="s">
        <v>247</v>
      </c>
      <c r="B145" s="397" t="s">
        <v>438</v>
      </c>
      <c r="C145" s="393" t="s">
        <v>705</v>
      </c>
      <c r="D145" s="394" t="s">
        <v>253</v>
      </c>
      <c r="E145" s="398">
        <v>10</v>
      </c>
      <c r="F145" s="399"/>
      <c r="G145" s="389"/>
    </row>
    <row r="146" spans="1:7" s="400" customFormat="1" ht="36">
      <c r="A146" s="396">
        <v>36</v>
      </c>
      <c r="B146" s="397" t="s">
        <v>706</v>
      </c>
      <c r="C146" s="393" t="s">
        <v>707</v>
      </c>
      <c r="D146" s="394" t="s">
        <v>253</v>
      </c>
      <c r="E146" s="398">
        <v>11</v>
      </c>
      <c r="F146" s="399"/>
      <c r="G146" s="389"/>
    </row>
    <row r="148" spans="1:7">
      <c r="C148" s="100" t="s">
        <v>118</v>
      </c>
      <c r="G148" s="164">
        <f>G22+G32+G41+G49+G59+G94+G103</f>
        <v>16709085.279999999</v>
      </c>
    </row>
  </sheetData>
  <mergeCells count="24">
    <mergeCell ref="D15:D16"/>
    <mergeCell ref="E15:E16"/>
    <mergeCell ref="F15:G15"/>
    <mergeCell ref="B19:E19"/>
    <mergeCell ref="A140:C140"/>
    <mergeCell ref="C10:D10"/>
    <mergeCell ref="E10:G10"/>
    <mergeCell ref="E11:G11"/>
    <mergeCell ref="E12:G12"/>
    <mergeCell ref="C13:D13"/>
    <mergeCell ref="E13:G13"/>
    <mergeCell ref="A7:C7"/>
    <mergeCell ref="E7:G7"/>
    <mergeCell ref="A8:C8"/>
    <mergeCell ref="E8:G8"/>
    <mergeCell ref="A9:C9"/>
    <mergeCell ref="E9:G9"/>
    <mergeCell ref="A6:C6"/>
    <mergeCell ref="E6:G6"/>
    <mergeCell ref="D1:G1"/>
    <mergeCell ref="D2:G2"/>
    <mergeCell ref="D3:G3"/>
    <mergeCell ref="C4:D5"/>
    <mergeCell ref="E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opLeftCell="A28" workbookViewId="0">
      <selection activeCell="N38" sqref="N38"/>
    </sheetView>
  </sheetViews>
  <sheetFormatPr defaultColWidth="8.85546875" defaultRowHeight="11.25"/>
  <cols>
    <col min="1" max="1" width="9.7109375" style="56" customWidth="1"/>
    <col min="2" max="5" width="8.85546875" style="56"/>
    <col min="6" max="6" width="13.7109375" style="56" customWidth="1"/>
    <col min="7" max="7" width="12.7109375" style="56" customWidth="1"/>
    <col min="8" max="8" width="21.28515625" style="56" customWidth="1"/>
    <col min="9" max="9" width="8.85546875" style="56"/>
    <col min="10" max="10" width="12.140625" style="56" customWidth="1"/>
    <col min="11" max="16384" width="8.85546875" style="56"/>
  </cols>
  <sheetData>
    <row r="1" spans="1:8">
      <c r="F1" s="483" t="s">
        <v>66</v>
      </c>
      <c r="G1" s="483"/>
      <c r="H1" s="483"/>
    </row>
    <row r="2" spans="1:8">
      <c r="F2" s="483" t="s">
        <v>26</v>
      </c>
      <c r="G2" s="483"/>
      <c r="H2" s="483"/>
    </row>
    <row r="3" spans="1:8">
      <c r="F3" s="483" t="s">
        <v>67</v>
      </c>
      <c r="G3" s="483"/>
      <c r="H3" s="483"/>
    </row>
    <row r="4" spans="1:8">
      <c r="A4" s="484"/>
      <c r="B4" s="454"/>
      <c r="C4" s="454"/>
      <c r="D4" s="454"/>
      <c r="E4" s="454"/>
      <c r="G4" s="57"/>
      <c r="H4" s="58" t="s">
        <v>29</v>
      </c>
    </row>
    <row r="5" spans="1:8">
      <c r="A5" s="454"/>
      <c r="B5" s="454"/>
      <c r="C5" s="454"/>
      <c r="D5" s="454"/>
      <c r="E5" s="454"/>
      <c r="G5" s="57"/>
      <c r="H5" s="58" t="s">
        <v>68</v>
      </c>
    </row>
    <row r="6" spans="1:8" ht="14.45" customHeight="1">
      <c r="A6" s="485" t="s">
        <v>69</v>
      </c>
      <c r="B6" s="485"/>
      <c r="C6" s="485"/>
      <c r="D6" s="485"/>
      <c r="E6" s="485"/>
      <c r="F6" s="485"/>
      <c r="G6" s="59" t="s">
        <v>70</v>
      </c>
      <c r="H6" s="60"/>
    </row>
    <row r="7" spans="1:8">
      <c r="B7" s="430" t="s">
        <v>71</v>
      </c>
      <c r="C7" s="430"/>
      <c r="D7" s="430"/>
      <c r="E7" s="430"/>
      <c r="G7" s="59"/>
      <c r="H7" s="60"/>
    </row>
    <row r="8" spans="1:8" ht="13.15" customHeight="1">
      <c r="A8" s="480" t="s">
        <v>111</v>
      </c>
      <c r="B8" s="432"/>
      <c r="C8" s="432"/>
      <c r="D8" s="432"/>
      <c r="E8" s="432"/>
      <c r="F8" s="432"/>
      <c r="G8" s="59" t="s">
        <v>72</v>
      </c>
      <c r="H8" s="60"/>
    </row>
    <row r="9" spans="1:8" ht="12.75">
      <c r="A9" s="477" t="s">
        <v>73</v>
      </c>
      <c r="B9" s="478"/>
      <c r="C9" s="478"/>
      <c r="D9" s="478"/>
      <c r="E9" s="478"/>
      <c r="F9" s="478"/>
      <c r="G9" s="59"/>
      <c r="H9" s="61"/>
    </row>
    <row r="10" spans="1:8">
      <c r="B10" s="430" t="s">
        <v>71</v>
      </c>
      <c r="C10" s="430"/>
      <c r="D10" s="430"/>
      <c r="E10" s="430"/>
      <c r="G10" s="59"/>
      <c r="H10" s="60"/>
    </row>
    <row r="11" spans="1:8" ht="14.45" customHeight="1">
      <c r="A11" s="481" t="s">
        <v>134</v>
      </c>
      <c r="B11" s="482"/>
      <c r="C11" s="482"/>
      <c r="D11" s="482"/>
      <c r="E11" s="482"/>
      <c r="F11" s="482"/>
      <c r="G11" s="59" t="s">
        <v>72</v>
      </c>
      <c r="H11" s="60"/>
    </row>
    <row r="12" spans="1:8" ht="12.75">
      <c r="A12" s="478" t="s">
        <v>110</v>
      </c>
      <c r="B12" s="478"/>
      <c r="C12" s="478"/>
      <c r="D12" s="478"/>
      <c r="E12" s="478"/>
      <c r="F12" s="478"/>
      <c r="G12" s="479"/>
      <c r="H12" s="61"/>
    </row>
    <row r="13" spans="1:8">
      <c r="B13" s="430" t="s">
        <v>71</v>
      </c>
      <c r="C13" s="430"/>
      <c r="D13" s="430"/>
      <c r="E13" s="430"/>
      <c r="G13" s="57"/>
      <c r="H13" s="60"/>
    </row>
    <row r="14" spans="1:8" ht="66" customHeight="1">
      <c r="A14" s="476" t="s">
        <v>116</v>
      </c>
      <c r="B14" s="476"/>
      <c r="C14" s="476"/>
      <c r="D14" s="476"/>
      <c r="E14" s="476"/>
      <c r="F14" s="476"/>
      <c r="G14" s="62" t="s">
        <v>70</v>
      </c>
      <c r="H14" s="63"/>
    </row>
    <row r="15" spans="1:8">
      <c r="B15" s="430" t="s">
        <v>74</v>
      </c>
      <c r="C15" s="430"/>
      <c r="D15" s="430"/>
      <c r="E15" s="430"/>
      <c r="G15" s="57"/>
      <c r="H15" s="63"/>
    </row>
    <row r="16" spans="1:8" ht="15">
      <c r="C16" s="56" t="s">
        <v>75</v>
      </c>
      <c r="F16" s="430" t="s">
        <v>35</v>
      </c>
      <c r="G16" s="438"/>
      <c r="H16" s="64"/>
    </row>
    <row r="17" spans="1:10" ht="15">
      <c r="C17" s="56" t="s">
        <v>76</v>
      </c>
      <c r="D17" s="430" t="s">
        <v>77</v>
      </c>
      <c r="E17" s="437"/>
      <c r="F17" s="438"/>
      <c r="G17" s="65" t="s">
        <v>78</v>
      </c>
      <c r="H17" s="66" t="s">
        <v>47</v>
      </c>
    </row>
    <row r="18" spans="1:10">
      <c r="F18" s="57"/>
      <c r="G18" s="67" t="s">
        <v>79</v>
      </c>
      <c r="H18" s="68">
        <v>43147</v>
      </c>
    </row>
    <row r="19" spans="1:10">
      <c r="C19" s="56" t="s">
        <v>80</v>
      </c>
      <c r="E19" s="466" t="s">
        <v>39</v>
      </c>
      <c r="F19" s="466"/>
      <c r="G19" s="57"/>
      <c r="H19" s="64"/>
    </row>
    <row r="20" spans="1:10" ht="15">
      <c r="C20" s="467" t="s">
        <v>37</v>
      </c>
      <c r="D20" s="468"/>
      <c r="E20" s="467" t="s">
        <v>38</v>
      </c>
      <c r="F20" s="468"/>
      <c r="G20" s="469" t="s">
        <v>81</v>
      </c>
      <c r="H20" s="461"/>
    </row>
    <row r="21" spans="1:10" ht="15">
      <c r="C21" s="470" t="s">
        <v>82</v>
      </c>
      <c r="D21" s="471"/>
      <c r="E21" s="470" t="s">
        <v>83</v>
      </c>
      <c r="F21" s="472"/>
      <c r="G21" s="64" t="s">
        <v>43</v>
      </c>
      <c r="H21" s="64" t="s">
        <v>44</v>
      </c>
    </row>
    <row r="22" spans="1:10" ht="15">
      <c r="C22" s="469">
        <v>1</v>
      </c>
      <c r="D22" s="461"/>
      <c r="E22" s="473" t="s">
        <v>114</v>
      </c>
      <c r="F22" s="474"/>
      <c r="G22" s="46" t="s">
        <v>48</v>
      </c>
      <c r="H22" s="46" t="s">
        <v>49</v>
      </c>
    </row>
    <row r="24" spans="1:10" ht="12.75">
      <c r="A24" s="69"/>
      <c r="B24" s="69"/>
      <c r="C24" s="475" t="s">
        <v>84</v>
      </c>
      <c r="D24" s="475"/>
      <c r="E24" s="69"/>
    </row>
    <row r="25" spans="1:10" ht="15">
      <c r="A25" s="69"/>
      <c r="B25" s="465" t="s">
        <v>112</v>
      </c>
      <c r="C25" s="446"/>
      <c r="D25" s="446"/>
      <c r="E25" s="446"/>
      <c r="F25" s="446"/>
      <c r="G25" s="446"/>
    </row>
    <row r="26" spans="1:10">
      <c r="A26" s="448" t="s">
        <v>78</v>
      </c>
      <c r="B26" s="450" t="s">
        <v>85</v>
      </c>
      <c r="C26" s="451"/>
      <c r="D26" s="452"/>
      <c r="E26" s="448" t="s">
        <v>86</v>
      </c>
      <c r="F26" s="70" t="s">
        <v>87</v>
      </c>
      <c r="G26" s="70"/>
      <c r="H26" s="71"/>
    </row>
    <row r="27" spans="1:10">
      <c r="A27" s="449"/>
      <c r="B27" s="453"/>
      <c r="C27" s="454"/>
      <c r="D27" s="455"/>
      <c r="E27" s="449"/>
      <c r="F27" s="57" t="s">
        <v>88</v>
      </c>
      <c r="G27" s="72" t="s">
        <v>89</v>
      </c>
      <c r="H27" s="73" t="s">
        <v>90</v>
      </c>
    </row>
    <row r="28" spans="1:10">
      <c r="A28" s="63"/>
      <c r="B28" s="453"/>
      <c r="C28" s="454"/>
      <c r="D28" s="455"/>
      <c r="E28" s="63"/>
      <c r="F28" s="57" t="s">
        <v>91</v>
      </c>
      <c r="G28" s="72" t="s">
        <v>92</v>
      </c>
      <c r="H28" s="63" t="s">
        <v>93</v>
      </c>
    </row>
    <row r="29" spans="1:10">
      <c r="A29" s="74"/>
      <c r="B29" s="456"/>
      <c r="C29" s="457"/>
      <c r="D29" s="458"/>
      <c r="E29" s="74"/>
      <c r="F29" s="57" t="s">
        <v>94</v>
      </c>
      <c r="G29" s="75"/>
      <c r="H29" s="74" t="s">
        <v>95</v>
      </c>
    </row>
    <row r="30" spans="1:10" ht="15">
      <c r="A30" s="64">
        <v>1</v>
      </c>
      <c r="B30" s="459">
        <v>2</v>
      </c>
      <c r="C30" s="460"/>
      <c r="D30" s="461"/>
      <c r="E30" s="64">
        <v>3</v>
      </c>
      <c r="F30" s="64">
        <v>4</v>
      </c>
      <c r="G30" s="70">
        <v>5</v>
      </c>
      <c r="H30" s="64">
        <v>6</v>
      </c>
    </row>
    <row r="31" spans="1:10">
      <c r="A31" s="462" t="s">
        <v>96</v>
      </c>
      <c r="B31" s="450" t="s">
        <v>97</v>
      </c>
      <c r="C31" s="451"/>
      <c r="D31" s="452"/>
      <c r="E31" s="448"/>
      <c r="F31" s="433">
        <f>G31</f>
        <v>16709085.279999999</v>
      </c>
      <c r="G31" s="434">
        <f>Лист1!G56+Лист2!G77+Лист2!G96+Лист3!G37+Лист4!G113+Лист5!G264+Лист6!G48+Лист7!G286</f>
        <v>16709085.279999999</v>
      </c>
      <c r="H31" s="434"/>
    </row>
    <row r="32" spans="1:10">
      <c r="A32" s="463"/>
      <c r="B32" s="456"/>
      <c r="C32" s="457"/>
      <c r="D32" s="458"/>
      <c r="E32" s="464"/>
      <c r="F32" s="433"/>
      <c r="G32" s="435"/>
      <c r="H32" s="435"/>
      <c r="I32" s="76"/>
      <c r="J32" s="76"/>
    </row>
    <row r="33" spans="1:9" ht="15">
      <c r="A33" s="63"/>
      <c r="B33" s="436" t="s">
        <v>98</v>
      </c>
      <c r="C33" s="437"/>
      <c r="D33" s="438"/>
      <c r="E33" s="72"/>
      <c r="F33" s="95"/>
      <c r="G33" s="96"/>
      <c r="H33" s="97"/>
    </row>
    <row r="34" spans="1:9" ht="12.75">
      <c r="A34" s="63"/>
      <c r="B34" s="439" t="s">
        <v>132</v>
      </c>
      <c r="C34" s="440"/>
      <c r="D34" s="441"/>
      <c r="E34" s="72"/>
      <c r="F34" s="97"/>
      <c r="G34" s="96"/>
      <c r="H34" s="97"/>
    </row>
    <row r="35" spans="1:9" ht="12.75">
      <c r="A35" s="63"/>
      <c r="B35" s="439"/>
      <c r="C35" s="440"/>
      <c r="D35" s="441"/>
      <c r="E35" s="72"/>
      <c r="F35" s="97">
        <f>F31</f>
        <v>16709085.279999999</v>
      </c>
      <c r="G35" s="96">
        <f>G31</f>
        <v>16709085.279999999</v>
      </c>
      <c r="H35" s="97"/>
    </row>
    <row r="36" spans="1:9" ht="12.75">
      <c r="A36" s="63"/>
      <c r="B36" s="439"/>
      <c r="C36" s="440"/>
      <c r="D36" s="441"/>
      <c r="E36" s="72"/>
      <c r="F36" s="97"/>
      <c r="G36" s="98"/>
      <c r="H36" s="97"/>
    </row>
    <row r="37" spans="1:9" ht="12.75">
      <c r="A37" s="74"/>
      <c r="B37" s="442"/>
      <c r="C37" s="443"/>
      <c r="D37" s="444"/>
      <c r="E37" s="75"/>
      <c r="F37" s="78"/>
      <c r="G37" s="79"/>
      <c r="H37" s="77"/>
    </row>
    <row r="38" spans="1:9" ht="15">
      <c r="A38" s="72"/>
      <c r="B38" s="445"/>
      <c r="C38" s="446"/>
      <c r="D38" s="447"/>
      <c r="E38" s="64"/>
      <c r="F38" s="80"/>
      <c r="G38" s="81"/>
      <c r="H38" s="81"/>
    </row>
    <row r="39" spans="1:9" ht="12.75">
      <c r="A39" s="82"/>
      <c r="B39" s="83"/>
      <c r="C39" s="83"/>
      <c r="D39" s="83"/>
      <c r="E39" s="83"/>
      <c r="F39" s="83" t="s">
        <v>99</v>
      </c>
      <c r="G39" s="84"/>
      <c r="H39" s="95"/>
      <c r="I39" s="85"/>
    </row>
    <row r="40" spans="1:9" ht="12.75">
      <c r="A40" s="72"/>
      <c r="B40" s="57"/>
      <c r="C40" s="57"/>
      <c r="D40" s="57"/>
      <c r="E40" s="57"/>
      <c r="F40" s="57" t="s">
        <v>100</v>
      </c>
      <c r="G40" s="86"/>
      <c r="H40" s="95"/>
      <c r="I40" s="85"/>
    </row>
    <row r="41" spans="1:9" ht="12.75">
      <c r="A41" s="75"/>
      <c r="B41" s="87"/>
      <c r="C41" s="87"/>
      <c r="D41" s="87"/>
      <c r="E41" s="87"/>
      <c r="F41" s="87" t="s">
        <v>101</v>
      </c>
      <c r="G41" s="88"/>
      <c r="H41" s="99"/>
      <c r="I41" s="85"/>
    </row>
    <row r="42" spans="1:9">
      <c r="A42" s="57"/>
      <c r="B42" s="57"/>
      <c r="C42" s="57"/>
      <c r="D42" s="57"/>
      <c r="E42" s="57"/>
      <c r="F42" s="57"/>
      <c r="G42" s="89"/>
      <c r="H42" s="76"/>
      <c r="I42" s="76"/>
    </row>
    <row r="44" spans="1:9" s="90" customFormat="1" ht="30" customHeight="1">
      <c r="A44" s="90" t="s">
        <v>102</v>
      </c>
      <c r="B44" s="429" t="s">
        <v>103</v>
      </c>
      <c r="C44" s="429"/>
      <c r="D44" s="429"/>
      <c r="E44" s="429"/>
      <c r="F44" s="91"/>
      <c r="G44" s="69"/>
      <c r="H44" s="92" t="s">
        <v>104</v>
      </c>
    </row>
    <row r="45" spans="1:9">
      <c r="B45" s="430" t="s">
        <v>105</v>
      </c>
      <c r="C45" s="430"/>
      <c r="F45" s="431" t="s">
        <v>106</v>
      </c>
      <c r="G45" s="431"/>
      <c r="H45" s="93" t="s">
        <v>107</v>
      </c>
    </row>
    <row r="46" spans="1:9" ht="12.75">
      <c r="B46" s="94"/>
      <c r="C46" s="94"/>
      <c r="D46" s="94"/>
      <c r="E46" s="94"/>
      <c r="F46" s="94"/>
      <c r="G46" s="94"/>
    </row>
    <row r="47" spans="1:9" ht="12.75">
      <c r="A47" s="56" t="s">
        <v>108</v>
      </c>
      <c r="B47" s="94"/>
      <c r="C47" s="94"/>
      <c r="D47" s="94"/>
      <c r="E47" s="94"/>
      <c r="F47" s="94"/>
      <c r="G47" s="94"/>
    </row>
    <row r="48" spans="1:9" ht="12.75">
      <c r="B48" s="94"/>
      <c r="C48" s="94"/>
      <c r="D48" s="94"/>
      <c r="E48" s="94"/>
      <c r="F48" s="94"/>
      <c r="G48" s="94"/>
    </row>
    <row r="49" spans="1:8" ht="27.6" customHeight="1">
      <c r="A49" s="90" t="s">
        <v>109</v>
      </c>
      <c r="B49" s="432" t="s">
        <v>133</v>
      </c>
      <c r="C49" s="432"/>
      <c r="D49" s="432"/>
      <c r="E49" s="432"/>
      <c r="F49" s="94"/>
      <c r="G49" s="94"/>
      <c r="H49" s="92" t="s">
        <v>24</v>
      </c>
    </row>
    <row r="50" spans="1:8" ht="12.75">
      <c r="A50" s="94"/>
      <c r="B50" s="430" t="s">
        <v>105</v>
      </c>
      <c r="C50" s="430"/>
      <c r="F50" s="431" t="s">
        <v>106</v>
      </c>
      <c r="G50" s="431"/>
      <c r="H50" s="93" t="s">
        <v>107</v>
      </c>
    </row>
    <row r="51" spans="1:8" ht="12.75">
      <c r="B51" s="94"/>
      <c r="C51" s="94"/>
      <c r="D51" s="94"/>
      <c r="E51" s="94"/>
      <c r="F51" s="94"/>
      <c r="G51" s="94"/>
    </row>
    <row r="52" spans="1:8">
      <c r="A52" s="56" t="s">
        <v>108</v>
      </c>
    </row>
  </sheetData>
  <mergeCells count="45">
    <mergeCell ref="A8:F8"/>
    <mergeCell ref="A11:F11"/>
    <mergeCell ref="F1:H1"/>
    <mergeCell ref="F2:H2"/>
    <mergeCell ref="F3:H3"/>
    <mergeCell ref="A4:E5"/>
    <mergeCell ref="B7:E7"/>
    <mergeCell ref="A6:F6"/>
    <mergeCell ref="A14:F14"/>
    <mergeCell ref="A9:F9"/>
    <mergeCell ref="B10:E10"/>
    <mergeCell ref="A12:G12"/>
    <mergeCell ref="B13:E13"/>
    <mergeCell ref="B25:G25"/>
    <mergeCell ref="B15:E15"/>
    <mergeCell ref="F16:G16"/>
    <mergeCell ref="D17:F17"/>
    <mergeCell ref="E19:F19"/>
    <mergeCell ref="C20:D20"/>
    <mergeCell ref="E20:F20"/>
    <mergeCell ref="G20:H20"/>
    <mergeCell ref="C21:D21"/>
    <mergeCell ref="E21:F21"/>
    <mergeCell ref="C22:D22"/>
    <mergeCell ref="E22:F22"/>
    <mergeCell ref="C24:D24"/>
    <mergeCell ref="B38:D38"/>
    <mergeCell ref="A26:A27"/>
    <mergeCell ref="B26:D29"/>
    <mergeCell ref="E26:E27"/>
    <mergeCell ref="B30:D30"/>
    <mergeCell ref="A31:A32"/>
    <mergeCell ref="B31:D32"/>
    <mergeCell ref="E31:E32"/>
    <mergeCell ref="F31:F32"/>
    <mergeCell ref="G31:G32"/>
    <mergeCell ref="H31:H32"/>
    <mergeCell ref="B33:D33"/>
    <mergeCell ref="B34:D37"/>
    <mergeCell ref="B44:E44"/>
    <mergeCell ref="B45:C45"/>
    <mergeCell ref="F45:G45"/>
    <mergeCell ref="B50:C50"/>
    <mergeCell ref="F50:G50"/>
    <mergeCell ref="B49:E49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opLeftCell="A31" workbookViewId="0">
      <selection activeCell="M36" sqref="M36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140625" style="1" customWidth="1"/>
    <col min="8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33"/>
      <c r="F4" s="134" t="s">
        <v>29</v>
      </c>
      <c r="G4" s="135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39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39" t="s">
        <v>32</v>
      </c>
      <c r="E7" s="418"/>
      <c r="F7" s="418"/>
      <c r="G7" s="418"/>
    </row>
    <row r="8" spans="1:7" customFormat="1" ht="15">
      <c r="A8" s="408" t="s">
        <v>136</v>
      </c>
      <c r="B8" s="408"/>
      <c r="C8" s="408"/>
      <c r="D8" s="139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38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38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36"/>
      <c r="G14" s="136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10" customFormat="1" ht="15">
      <c r="A17" s="34"/>
      <c r="B17" s="34"/>
      <c r="C17" s="44"/>
      <c r="D17" s="45" t="s">
        <v>45</v>
      </c>
      <c r="E17" s="52" t="s">
        <v>114</v>
      </c>
      <c r="F17" s="52" t="s">
        <v>48</v>
      </c>
      <c r="G17" s="52" t="s">
        <v>49</v>
      </c>
    </row>
    <row r="18" spans="1:10" customFormat="1" ht="15">
      <c r="A18" s="47"/>
      <c r="B18" s="48"/>
      <c r="C18" s="137" t="s">
        <v>46</v>
      </c>
      <c r="D18" s="49"/>
      <c r="E18" s="47"/>
      <c r="F18" s="50"/>
      <c r="G18" s="51"/>
    </row>
    <row r="19" spans="1:10" customFormat="1" ht="15">
      <c r="A19" s="47"/>
      <c r="B19" s="426" t="s">
        <v>50</v>
      </c>
      <c r="C19" s="426"/>
      <c r="D19" s="426"/>
      <c r="E19" s="426"/>
      <c r="F19" s="50"/>
      <c r="G19" s="51"/>
    </row>
    <row r="20" spans="1:10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10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10" s="24" customFormat="1" ht="48">
      <c r="A22" s="18"/>
      <c r="B22" s="19"/>
      <c r="C22" s="147" t="s">
        <v>137</v>
      </c>
      <c r="D22" s="20"/>
      <c r="E22" s="21"/>
      <c r="F22" s="22"/>
      <c r="G22" s="23"/>
    </row>
    <row r="23" spans="1:10" ht="24">
      <c r="A23" s="8">
        <v>1</v>
      </c>
      <c r="B23" s="12" t="s">
        <v>55</v>
      </c>
      <c r="C23" s="9" t="s">
        <v>3</v>
      </c>
      <c r="D23" s="13" t="s">
        <v>4</v>
      </c>
      <c r="E23" s="15">
        <f>211.156*2</f>
        <v>422.31200000000001</v>
      </c>
      <c r="F23" s="14">
        <v>87.84</v>
      </c>
      <c r="G23" s="16">
        <f>E23*F23</f>
        <v>37095.89</v>
      </c>
      <c r="H23" s="1" t="s">
        <v>140</v>
      </c>
      <c r="J23" s="1">
        <f>E23+E38+E46</f>
        <v>3347.3119999999999</v>
      </c>
    </row>
    <row r="24" spans="1:10" ht="36">
      <c r="A24" s="8">
        <v>2</v>
      </c>
      <c r="B24" s="12" t="s">
        <v>56</v>
      </c>
      <c r="C24" s="9" t="s">
        <v>5</v>
      </c>
      <c r="D24" s="13" t="s">
        <v>6</v>
      </c>
      <c r="E24" s="14">
        <f>40.102*2</f>
        <v>80.203999999999994</v>
      </c>
      <c r="F24" s="14">
        <v>213.04</v>
      </c>
      <c r="G24" s="16">
        <f t="shared" ref="G24:G36" si="0">E24*F24</f>
        <v>17086.66</v>
      </c>
      <c r="H24" s="1" t="s">
        <v>140</v>
      </c>
      <c r="J24" s="1">
        <f>E24</f>
        <v>80.203999999999994</v>
      </c>
    </row>
    <row r="25" spans="1:10" ht="36">
      <c r="A25" s="8">
        <v>3</v>
      </c>
      <c r="B25" s="12" t="s">
        <v>57</v>
      </c>
      <c r="C25" s="9" t="s">
        <v>7</v>
      </c>
      <c r="D25" s="13" t="s">
        <v>4</v>
      </c>
      <c r="E25" s="15">
        <f>211.156*2</f>
        <v>422.31200000000001</v>
      </c>
      <c r="F25" s="14">
        <v>209.14</v>
      </c>
      <c r="G25" s="16">
        <f t="shared" si="0"/>
        <v>88322.33</v>
      </c>
      <c r="H25" s="1" t="s">
        <v>140</v>
      </c>
      <c r="J25" s="1">
        <f>E25+E39+E47</f>
        <v>733.81200000000001</v>
      </c>
    </row>
    <row r="26" spans="1:10" ht="24">
      <c r="A26" s="8">
        <v>4</v>
      </c>
      <c r="B26" s="12" t="s">
        <v>58</v>
      </c>
      <c r="C26" s="9" t="s">
        <v>8</v>
      </c>
      <c r="D26" s="13" t="s">
        <v>9</v>
      </c>
      <c r="E26" s="17">
        <f>0.38*422.312</f>
        <v>160.47900000000001</v>
      </c>
      <c r="F26" s="14">
        <v>1350.79</v>
      </c>
      <c r="G26" s="16">
        <f t="shared" si="0"/>
        <v>216773.43</v>
      </c>
      <c r="H26" s="1" t="s">
        <v>140</v>
      </c>
    </row>
    <row r="27" spans="1:10" ht="24">
      <c r="A27" s="8">
        <v>5</v>
      </c>
      <c r="B27" s="12" t="s">
        <v>59</v>
      </c>
      <c r="C27" s="9" t="s">
        <v>10</v>
      </c>
      <c r="D27" s="13" t="s">
        <v>11</v>
      </c>
      <c r="E27" s="15">
        <f>4.0102*2</f>
        <v>8.0204000000000004</v>
      </c>
      <c r="F27" s="14">
        <v>1608.64</v>
      </c>
      <c r="G27" s="16">
        <f t="shared" si="0"/>
        <v>12901.94</v>
      </c>
      <c r="H27" s="1" t="s">
        <v>140</v>
      </c>
    </row>
    <row r="28" spans="1:10" ht="36">
      <c r="A28" s="8">
        <v>6</v>
      </c>
      <c r="B28" s="12" t="s">
        <v>60</v>
      </c>
      <c r="C28" s="9" t="s">
        <v>12</v>
      </c>
      <c r="D28" s="13" t="s">
        <v>4</v>
      </c>
      <c r="E28" s="15">
        <f>18.84*2</f>
        <v>37.68</v>
      </c>
      <c r="F28" s="14">
        <v>115.13</v>
      </c>
      <c r="G28" s="16">
        <f t="shared" si="0"/>
        <v>4338.1000000000004</v>
      </c>
      <c r="H28" s="1" t="s">
        <v>140</v>
      </c>
      <c r="J28" s="1">
        <f>E28+E41+E50</f>
        <v>199.68</v>
      </c>
    </row>
    <row r="29" spans="1:10">
      <c r="A29" s="8">
        <v>7</v>
      </c>
      <c r="B29" s="12" t="s">
        <v>61</v>
      </c>
      <c r="C29" s="9" t="s">
        <v>13</v>
      </c>
      <c r="D29" s="13" t="s">
        <v>14</v>
      </c>
      <c r="E29" s="15">
        <f>47.06*2</f>
        <v>94.12</v>
      </c>
      <c r="F29" s="14">
        <v>2089.42</v>
      </c>
      <c r="G29" s="16">
        <f t="shared" si="0"/>
        <v>196656.21</v>
      </c>
      <c r="H29" s="1" t="s">
        <v>140</v>
      </c>
      <c r="J29" s="1">
        <f>E29+E30+E42+E51</f>
        <v>257.60599999999999</v>
      </c>
    </row>
    <row r="30" spans="1:10" s="115" customFormat="1" ht="24">
      <c r="A30" s="108">
        <v>8</v>
      </c>
      <c r="B30" s="109" t="s">
        <v>61</v>
      </c>
      <c r="C30" s="110" t="s">
        <v>115</v>
      </c>
      <c r="D30" s="111" t="s">
        <v>14</v>
      </c>
      <c r="E30" s="112">
        <f>(14002+575+900+300) / 100*30%</f>
        <v>47.331000000000003</v>
      </c>
      <c r="F30" s="113">
        <v>2089.42</v>
      </c>
      <c r="G30" s="114">
        <f t="shared" si="0"/>
        <v>98894.34</v>
      </c>
      <c r="H30" s="1" t="s">
        <v>140</v>
      </c>
    </row>
    <row r="31" spans="1:10" ht="36">
      <c r="A31" s="8">
        <v>9</v>
      </c>
      <c r="B31" s="12" t="s">
        <v>62</v>
      </c>
      <c r="C31" s="9" t="s">
        <v>15</v>
      </c>
      <c r="D31" s="13" t="s">
        <v>14</v>
      </c>
      <c r="E31" s="15">
        <f>8.32*2</f>
        <v>16.64</v>
      </c>
      <c r="F31" s="14">
        <v>2158.5300000000002</v>
      </c>
      <c r="G31" s="16">
        <f t="shared" si="0"/>
        <v>35917.94</v>
      </c>
      <c r="H31" s="1" t="s">
        <v>140</v>
      </c>
      <c r="J31" s="1">
        <f>E31</f>
        <v>16.64</v>
      </c>
    </row>
    <row r="32" spans="1:10" ht="36">
      <c r="A32" s="8">
        <v>10</v>
      </c>
      <c r="B32" s="12" t="s">
        <v>63</v>
      </c>
      <c r="C32" s="9" t="s">
        <v>16</v>
      </c>
      <c r="D32" s="13" t="s">
        <v>4</v>
      </c>
      <c r="E32" s="15">
        <f>23.546*2</f>
        <v>47.091999999999999</v>
      </c>
      <c r="F32" s="14">
        <v>816.03</v>
      </c>
      <c r="G32" s="16">
        <f t="shared" si="0"/>
        <v>38428.480000000003</v>
      </c>
      <c r="H32" s="1" t="s">
        <v>140</v>
      </c>
      <c r="J32" s="1">
        <f>E32+E33+E43+E52</f>
        <v>88.198999999999998</v>
      </c>
    </row>
    <row r="33" spans="1:10" s="115" customFormat="1" ht="36">
      <c r="A33" s="108">
        <v>11</v>
      </c>
      <c r="B33" s="109" t="s">
        <v>63</v>
      </c>
      <c r="C33" s="110" t="s">
        <v>16</v>
      </c>
      <c r="D33" s="111" t="s">
        <v>4</v>
      </c>
      <c r="E33" s="112">
        <f>(14002+300) / 1000</f>
        <v>14.302</v>
      </c>
      <c r="F33" s="113">
        <v>816.03</v>
      </c>
      <c r="G33" s="114">
        <f t="shared" si="0"/>
        <v>11670.86</v>
      </c>
      <c r="H33" s="1" t="s">
        <v>140</v>
      </c>
    </row>
    <row r="34" spans="1:10" s="115" customFormat="1" ht="24">
      <c r="A34" s="108">
        <v>12</v>
      </c>
      <c r="B34" s="109" t="s">
        <v>58</v>
      </c>
      <c r="C34" s="110" t="s">
        <v>8</v>
      </c>
      <c r="D34" s="111" t="s">
        <v>9</v>
      </c>
      <c r="E34" s="116">
        <f>0.38*14.302</f>
        <v>5.4349999999999996</v>
      </c>
      <c r="F34" s="113">
        <v>1350.79</v>
      </c>
      <c r="G34" s="114">
        <f t="shared" si="0"/>
        <v>7341.54</v>
      </c>
      <c r="H34" s="1" t="s">
        <v>140</v>
      </c>
    </row>
    <row r="35" spans="1:10" ht="60">
      <c r="A35" s="8">
        <v>13</v>
      </c>
      <c r="B35" s="12" t="s">
        <v>64</v>
      </c>
      <c r="C35" s="9" t="s">
        <v>17</v>
      </c>
      <c r="D35" s="13" t="s">
        <v>18</v>
      </c>
      <c r="E35" s="15">
        <f>633.468*2</f>
        <v>1266.9359999999999</v>
      </c>
      <c r="F35" s="14">
        <v>24.3</v>
      </c>
      <c r="G35" s="16">
        <f t="shared" si="0"/>
        <v>30786.54</v>
      </c>
      <c r="H35" s="1" t="s">
        <v>140</v>
      </c>
    </row>
    <row r="36" spans="1:10" ht="36">
      <c r="A36" s="8">
        <v>14</v>
      </c>
      <c r="B36" s="12" t="s">
        <v>65</v>
      </c>
      <c r="C36" s="9" t="s">
        <v>19</v>
      </c>
      <c r="D36" s="13" t="s">
        <v>18</v>
      </c>
      <c r="E36" s="15">
        <f>633.468*2</f>
        <v>1266.9359999999999</v>
      </c>
      <c r="F36" s="14">
        <v>82.95</v>
      </c>
      <c r="G36" s="16">
        <f t="shared" si="0"/>
        <v>105092.34</v>
      </c>
      <c r="H36" s="1" t="s">
        <v>140</v>
      </c>
      <c r="J36" s="1">
        <f>E36</f>
        <v>1266.9359999999999</v>
      </c>
    </row>
    <row r="37" spans="1:10" s="117" customFormat="1">
      <c r="A37" s="118"/>
      <c r="B37" s="119"/>
      <c r="C37" s="120" t="s">
        <v>118</v>
      </c>
      <c r="D37" s="121"/>
      <c r="E37" s="122"/>
      <c r="F37" s="123"/>
      <c r="G37" s="124">
        <f>SUM(G23:G36)</f>
        <v>901306.6</v>
      </c>
    </row>
    <row r="38" spans="1:10" s="115" customFormat="1" ht="34.9" customHeight="1">
      <c r="A38" s="108" t="s">
        <v>614</v>
      </c>
      <c r="B38" s="109" t="s">
        <v>55</v>
      </c>
      <c r="C38" s="110" t="s">
        <v>3</v>
      </c>
      <c r="D38" s="166" t="s">
        <v>4</v>
      </c>
      <c r="E38" s="166">
        <v>160</v>
      </c>
      <c r="F38" s="266">
        <v>87.84</v>
      </c>
      <c r="G38" s="114">
        <f t="shared" ref="G38:G44" si="1">E38*F38</f>
        <v>14054.4</v>
      </c>
      <c r="H38" s="115" t="s">
        <v>567</v>
      </c>
    </row>
    <row r="39" spans="1:10" s="115" customFormat="1" ht="41.45" customHeight="1">
      <c r="A39" s="108" t="s">
        <v>615</v>
      </c>
      <c r="B39" s="109" t="s">
        <v>57</v>
      </c>
      <c r="C39" s="110" t="s">
        <v>7</v>
      </c>
      <c r="D39" s="166" t="s">
        <v>4</v>
      </c>
      <c r="E39" s="166">
        <v>35</v>
      </c>
      <c r="F39" s="266">
        <v>209.14</v>
      </c>
      <c r="G39" s="114">
        <f t="shared" si="1"/>
        <v>7319.9</v>
      </c>
      <c r="H39" s="115" t="s">
        <v>567</v>
      </c>
    </row>
    <row r="40" spans="1:10" s="115" customFormat="1" ht="24">
      <c r="A40" s="108" t="s">
        <v>616</v>
      </c>
      <c r="B40" s="109" t="s">
        <v>58</v>
      </c>
      <c r="C40" s="110" t="s">
        <v>8</v>
      </c>
      <c r="D40" s="111" t="s">
        <v>9</v>
      </c>
      <c r="E40" s="116">
        <f>35*0.38</f>
        <v>13.3</v>
      </c>
      <c r="F40" s="113">
        <v>1350.79</v>
      </c>
      <c r="G40" s="114">
        <f t="shared" si="1"/>
        <v>17965.509999999998</v>
      </c>
      <c r="H40" s="115" t="s">
        <v>567</v>
      </c>
    </row>
    <row r="41" spans="1:10" s="115" customFormat="1" ht="40.9" customHeight="1">
      <c r="A41" s="108" t="s">
        <v>617</v>
      </c>
      <c r="B41" s="109" t="s">
        <v>60</v>
      </c>
      <c r="C41" s="110" t="s">
        <v>12</v>
      </c>
      <c r="D41" s="166" t="s">
        <v>4</v>
      </c>
      <c r="E41" s="166">
        <v>85</v>
      </c>
      <c r="F41" s="266">
        <v>115.13</v>
      </c>
      <c r="G41" s="114">
        <f t="shared" si="1"/>
        <v>9786.0499999999993</v>
      </c>
      <c r="H41" s="115" t="s">
        <v>567</v>
      </c>
    </row>
    <row r="42" spans="1:10" s="115" customFormat="1">
      <c r="A42" s="108" t="s">
        <v>618</v>
      </c>
      <c r="B42" s="109" t="s">
        <v>61</v>
      </c>
      <c r="C42" s="110" t="s">
        <v>13</v>
      </c>
      <c r="D42" s="111" t="s">
        <v>14</v>
      </c>
      <c r="E42" s="112">
        <f>89.35*30%</f>
        <v>26.805</v>
      </c>
      <c r="F42" s="113">
        <v>2089.42</v>
      </c>
      <c r="G42" s="114">
        <f t="shared" si="1"/>
        <v>56006.9</v>
      </c>
      <c r="H42" s="115" t="s">
        <v>567</v>
      </c>
    </row>
    <row r="43" spans="1:10" s="115" customFormat="1" ht="36">
      <c r="A43" s="108" t="s">
        <v>619</v>
      </c>
      <c r="B43" s="109" t="s">
        <v>63</v>
      </c>
      <c r="C43" s="110" t="s">
        <v>16</v>
      </c>
      <c r="D43" s="111" t="s">
        <v>4</v>
      </c>
      <c r="E43" s="112">
        <f>8935/1000</f>
        <v>8.9350000000000005</v>
      </c>
      <c r="F43" s="113">
        <v>816.03</v>
      </c>
      <c r="G43" s="114">
        <f t="shared" si="1"/>
        <v>7291.23</v>
      </c>
      <c r="H43" s="115" t="s">
        <v>567</v>
      </c>
    </row>
    <row r="44" spans="1:10" s="115" customFormat="1">
      <c r="A44" s="108" t="s">
        <v>620</v>
      </c>
      <c r="B44" s="109" t="s">
        <v>58</v>
      </c>
      <c r="C44" s="110" t="s">
        <v>621</v>
      </c>
      <c r="D44" s="111" t="s">
        <v>9</v>
      </c>
      <c r="E44" s="116">
        <f>0.2*8.935</f>
        <v>1.7869999999999999</v>
      </c>
      <c r="F44" s="113">
        <v>1350.79</v>
      </c>
      <c r="G44" s="114">
        <f t="shared" si="1"/>
        <v>2413.86</v>
      </c>
      <c r="H44" s="115" t="s">
        <v>567</v>
      </c>
    </row>
    <row r="45" spans="1:10" s="176" customFormat="1">
      <c r="A45" s="169"/>
      <c r="B45" s="170"/>
      <c r="C45" s="171" t="s">
        <v>568</v>
      </c>
      <c r="D45" s="172"/>
      <c r="E45" s="173"/>
      <c r="F45" s="174"/>
      <c r="G45" s="175">
        <f>SUM(G38:G44)</f>
        <v>114837.85</v>
      </c>
    </row>
    <row r="46" spans="1:10" s="115" customFormat="1" ht="34.9" customHeight="1">
      <c r="A46" s="108" t="s">
        <v>254</v>
      </c>
      <c r="B46" s="109" t="s">
        <v>55</v>
      </c>
      <c r="C46" s="110" t="s">
        <v>3</v>
      </c>
      <c r="D46" s="166" t="s">
        <v>4</v>
      </c>
      <c r="E46" s="111">
        <f>(650000*2.5+456000*2.5)/1000</f>
        <v>2765</v>
      </c>
      <c r="F46" s="113">
        <v>87.84</v>
      </c>
      <c r="G46" s="114">
        <f t="shared" ref="G46:G54" si="2">E46*F46</f>
        <v>242877.6</v>
      </c>
      <c r="H46" s="115" t="s">
        <v>530</v>
      </c>
    </row>
    <row r="47" spans="1:10" s="115" customFormat="1" ht="41.45" customHeight="1">
      <c r="A47" s="108" t="s">
        <v>257</v>
      </c>
      <c r="B47" s="109" t="s">
        <v>57</v>
      </c>
      <c r="C47" s="110" t="s">
        <v>7</v>
      </c>
      <c r="D47" s="166" t="s">
        <v>4</v>
      </c>
      <c r="E47" s="111">
        <f>E46*0.1</f>
        <v>276.5</v>
      </c>
      <c r="F47" s="113">
        <v>209.14</v>
      </c>
      <c r="G47" s="114">
        <f t="shared" si="2"/>
        <v>57827.21</v>
      </c>
      <c r="H47" s="115" t="s">
        <v>530</v>
      </c>
    </row>
    <row r="48" spans="1:10" s="115" customFormat="1" ht="24">
      <c r="A48" s="108" t="s">
        <v>260</v>
      </c>
      <c r="B48" s="109" t="s">
        <v>58</v>
      </c>
      <c r="C48" s="110" t="s">
        <v>8</v>
      </c>
      <c r="D48" s="111" t="s">
        <v>9</v>
      </c>
      <c r="E48" s="116">
        <f>E47*0.38</f>
        <v>105.07</v>
      </c>
      <c r="F48" s="113">
        <v>1350.79</v>
      </c>
      <c r="G48" s="114">
        <f t="shared" si="2"/>
        <v>141927.51</v>
      </c>
      <c r="H48" s="115" t="s">
        <v>530</v>
      </c>
    </row>
    <row r="49" spans="1:8" s="115" customFormat="1" ht="40.9" customHeight="1">
      <c r="A49" s="108" t="s">
        <v>263</v>
      </c>
      <c r="B49" s="109" t="s">
        <v>60</v>
      </c>
      <c r="C49" s="110" t="s">
        <v>708</v>
      </c>
      <c r="D49" s="166" t="s">
        <v>4</v>
      </c>
      <c r="E49" s="111">
        <v>170</v>
      </c>
      <c r="F49" s="113">
        <v>115.13</v>
      </c>
      <c r="G49" s="114">
        <f t="shared" si="2"/>
        <v>19572.099999999999</v>
      </c>
      <c r="H49" s="115" t="s">
        <v>530</v>
      </c>
    </row>
    <row r="50" spans="1:8" s="115" customFormat="1" ht="40.9" customHeight="1">
      <c r="A50" s="108" t="s">
        <v>266</v>
      </c>
      <c r="B50" s="109" t="s">
        <v>60</v>
      </c>
      <c r="C50" s="110" t="s">
        <v>12</v>
      </c>
      <c r="D50" s="166" t="s">
        <v>4</v>
      </c>
      <c r="E50" s="111">
        <v>77</v>
      </c>
      <c r="F50" s="113">
        <v>115.13</v>
      </c>
      <c r="G50" s="114">
        <f t="shared" si="2"/>
        <v>8865.01</v>
      </c>
      <c r="H50" s="115" t="s">
        <v>530</v>
      </c>
    </row>
    <row r="51" spans="1:8" s="115" customFormat="1">
      <c r="A51" s="108" t="s">
        <v>270</v>
      </c>
      <c r="B51" s="109" t="s">
        <v>61</v>
      </c>
      <c r="C51" s="110" t="s">
        <v>13</v>
      </c>
      <c r="D51" s="111" t="s">
        <v>14</v>
      </c>
      <c r="E51" s="112">
        <f>89.35</f>
        <v>89.35</v>
      </c>
      <c r="F51" s="113">
        <v>2089.42</v>
      </c>
      <c r="G51" s="114">
        <f t="shared" si="2"/>
        <v>186689.68</v>
      </c>
      <c r="H51" s="115" t="s">
        <v>530</v>
      </c>
    </row>
    <row r="52" spans="1:8" s="115" customFormat="1" ht="36">
      <c r="A52" s="108" t="s">
        <v>274</v>
      </c>
      <c r="B52" s="109" t="s">
        <v>63</v>
      </c>
      <c r="C52" s="110" t="s">
        <v>16</v>
      </c>
      <c r="D52" s="111" t="s">
        <v>4</v>
      </c>
      <c r="E52" s="112">
        <f>8935/1000*2</f>
        <v>17.87</v>
      </c>
      <c r="F52" s="113">
        <v>816.03</v>
      </c>
      <c r="G52" s="114">
        <f t="shared" si="2"/>
        <v>14582.46</v>
      </c>
      <c r="H52" s="115" t="s">
        <v>530</v>
      </c>
    </row>
    <row r="53" spans="1:8" s="115" customFormat="1">
      <c r="A53" s="108" t="s">
        <v>277</v>
      </c>
      <c r="B53" s="109" t="s">
        <v>58</v>
      </c>
      <c r="C53" s="110" t="s">
        <v>621</v>
      </c>
      <c r="D53" s="111" t="s">
        <v>9</v>
      </c>
      <c r="E53" s="116">
        <f>0.2*E52</f>
        <v>3.5739999999999998</v>
      </c>
      <c r="F53" s="113">
        <v>1350.79</v>
      </c>
      <c r="G53" s="114">
        <f t="shared" si="2"/>
        <v>4827.72</v>
      </c>
      <c r="H53" s="115" t="s">
        <v>530</v>
      </c>
    </row>
    <row r="54" spans="1:8" s="182" customFormat="1">
      <c r="A54" s="108" t="s">
        <v>280</v>
      </c>
      <c r="B54" s="177"/>
      <c r="C54" s="178" t="s">
        <v>597</v>
      </c>
      <c r="D54" s="188" t="s">
        <v>570</v>
      </c>
      <c r="E54" s="180">
        <v>16</v>
      </c>
      <c r="F54" s="181">
        <f>28800/48</f>
        <v>600</v>
      </c>
      <c r="G54" s="114">
        <f t="shared" si="2"/>
        <v>9600</v>
      </c>
      <c r="H54" s="115" t="s">
        <v>530</v>
      </c>
    </row>
    <row r="55" spans="1:8" s="176" customFormat="1">
      <c r="A55" s="169"/>
      <c r="B55" s="170"/>
      <c r="C55" s="171" t="s">
        <v>691</v>
      </c>
      <c r="D55" s="172"/>
      <c r="E55" s="173"/>
      <c r="F55" s="174"/>
      <c r="G55" s="175">
        <f>SUM(G46:G54)</f>
        <v>686769.29</v>
      </c>
    </row>
    <row r="56" spans="1:8" s="32" customFormat="1">
      <c r="A56" s="25"/>
      <c r="B56" s="26"/>
      <c r="C56" s="27" t="s">
        <v>141</v>
      </c>
      <c r="D56" s="28"/>
      <c r="E56" s="29"/>
      <c r="F56" s="30"/>
      <c r="G56" s="31">
        <f>G37+G45+G55</f>
        <v>1702913.74</v>
      </c>
    </row>
    <row r="57" spans="1:8" s="32" customFormat="1">
      <c r="A57" s="101"/>
      <c r="B57" s="102"/>
      <c r="C57" s="103"/>
      <c r="D57" s="104"/>
      <c r="E57" s="105"/>
      <c r="F57" s="106"/>
      <c r="G57" s="107"/>
    </row>
    <row r="58" spans="1:8" s="32" customFormat="1">
      <c r="A58" s="101"/>
      <c r="B58" s="102"/>
      <c r="C58" s="103"/>
      <c r="D58" s="104"/>
      <c r="E58" s="105"/>
      <c r="F58" s="106"/>
      <c r="G58" s="107"/>
    </row>
  </sheetData>
  <mergeCells count="23">
    <mergeCell ref="A6:C6"/>
    <mergeCell ref="E6:G6"/>
    <mergeCell ref="D1:G1"/>
    <mergeCell ref="D2:G2"/>
    <mergeCell ref="D3:G3"/>
    <mergeCell ref="C4:D5"/>
    <mergeCell ref="E5:G5"/>
    <mergeCell ref="A7:C7"/>
    <mergeCell ref="E7:G7"/>
    <mergeCell ref="A8:C8"/>
    <mergeCell ref="E8:G8"/>
    <mergeCell ref="A9:C9"/>
    <mergeCell ref="E9:G9"/>
    <mergeCell ref="D15:D16"/>
    <mergeCell ref="E15:E16"/>
    <mergeCell ref="F15:G15"/>
    <mergeCell ref="B19:E19"/>
    <mergeCell ref="C10:D10"/>
    <mergeCell ref="E10:G10"/>
    <mergeCell ref="E11:G11"/>
    <mergeCell ref="E12:G12"/>
    <mergeCell ref="C13:D13"/>
    <mergeCell ref="E13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topLeftCell="A81" workbookViewId="0">
      <selection activeCell="J85" sqref="J85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140625" style="1" customWidth="1"/>
    <col min="8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33"/>
      <c r="F4" s="134" t="s">
        <v>29</v>
      </c>
      <c r="G4" s="135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39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39" t="s">
        <v>32</v>
      </c>
      <c r="E7" s="418"/>
      <c r="F7" s="418"/>
      <c r="G7" s="418"/>
    </row>
    <row r="8" spans="1:7" customFormat="1" ht="15">
      <c r="A8" s="408" t="s">
        <v>136</v>
      </c>
      <c r="B8" s="408"/>
      <c r="C8" s="408"/>
      <c r="D8" s="139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38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38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36"/>
      <c r="G14" s="136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8" customFormat="1" ht="15">
      <c r="A17" s="34"/>
      <c r="B17" s="34"/>
      <c r="C17" s="44"/>
      <c r="D17" s="45" t="s">
        <v>45</v>
      </c>
      <c r="E17" s="52" t="s">
        <v>114</v>
      </c>
      <c r="F17" s="52" t="s">
        <v>48</v>
      </c>
      <c r="G17" s="52" t="s">
        <v>49</v>
      </c>
    </row>
    <row r="18" spans="1:8" customFormat="1" ht="15">
      <c r="A18" s="47"/>
      <c r="B18" s="48"/>
      <c r="C18" s="137" t="s">
        <v>46</v>
      </c>
      <c r="D18" s="49"/>
      <c r="E18" s="47"/>
      <c r="F18" s="50"/>
      <c r="G18" s="51"/>
    </row>
    <row r="19" spans="1:8" customFormat="1" ht="15">
      <c r="A19" s="47"/>
      <c r="B19" s="426" t="s">
        <v>50</v>
      </c>
      <c r="C19" s="426"/>
      <c r="D19" s="426"/>
      <c r="E19" s="426"/>
      <c r="F19" s="50"/>
      <c r="G19" s="51"/>
    </row>
    <row r="20" spans="1:8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8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8" s="24" customFormat="1" ht="36">
      <c r="A22" s="18"/>
      <c r="B22" s="19"/>
      <c r="C22" s="147" t="s">
        <v>138</v>
      </c>
      <c r="D22" s="20"/>
      <c r="E22" s="21"/>
      <c r="F22" s="22"/>
      <c r="G22" s="23"/>
    </row>
    <row r="23" spans="1:8" s="128" customFormat="1" ht="36">
      <c r="A23" s="125" t="s">
        <v>120</v>
      </c>
      <c r="B23" s="126" t="s">
        <v>130</v>
      </c>
      <c r="C23" s="127" t="s">
        <v>131</v>
      </c>
      <c r="D23" s="129" t="s">
        <v>119</v>
      </c>
      <c r="E23" s="130">
        <v>53</v>
      </c>
      <c r="F23" s="131">
        <v>550.51</v>
      </c>
      <c r="G23" s="16">
        <f t="shared" ref="G23:G24" si="0">E23*F23</f>
        <v>29177.03</v>
      </c>
      <c r="H23" s="1" t="s">
        <v>140</v>
      </c>
    </row>
    <row r="24" spans="1:8" customFormat="1" ht="36">
      <c r="A24" s="125" t="s">
        <v>122</v>
      </c>
      <c r="B24" s="126" t="s">
        <v>121</v>
      </c>
      <c r="C24" s="127" t="s">
        <v>123</v>
      </c>
      <c r="D24" s="131" t="s">
        <v>14</v>
      </c>
      <c r="E24" s="130">
        <v>75</v>
      </c>
      <c r="F24" s="131">
        <v>2173.36</v>
      </c>
      <c r="G24" s="16">
        <f t="shared" si="0"/>
        <v>163002</v>
      </c>
      <c r="H24" s="1" t="s">
        <v>140</v>
      </c>
    </row>
    <row r="25" spans="1:8" s="117" customFormat="1">
      <c r="A25" s="118"/>
      <c r="B25" s="119"/>
      <c r="C25" s="120" t="s">
        <v>166</v>
      </c>
      <c r="D25" s="121"/>
      <c r="E25" s="122"/>
      <c r="F25" s="123"/>
      <c r="G25" s="124">
        <f>SUM(G23:G24)</f>
        <v>192179.03</v>
      </c>
    </row>
    <row r="26" spans="1:8" customFormat="1" ht="60">
      <c r="A26" s="125" t="s">
        <v>45</v>
      </c>
      <c r="B26" s="126" t="s">
        <v>144</v>
      </c>
      <c r="C26" s="127" t="s">
        <v>145</v>
      </c>
      <c r="D26" s="129" t="s">
        <v>146</v>
      </c>
      <c r="E26" s="130">
        <v>22</v>
      </c>
      <c r="F26" s="131">
        <v>5113.5200000000004</v>
      </c>
      <c r="G26" s="16">
        <f t="shared" ref="G26:G33" si="1">E26*F26</f>
        <v>112497.44</v>
      </c>
      <c r="H26" t="s">
        <v>165</v>
      </c>
    </row>
    <row r="27" spans="1:8" s="128" customFormat="1" ht="36">
      <c r="A27" s="125" t="s">
        <v>147</v>
      </c>
      <c r="B27" s="126" t="s">
        <v>130</v>
      </c>
      <c r="C27" s="127" t="s">
        <v>131</v>
      </c>
      <c r="D27" s="129" t="s">
        <v>119</v>
      </c>
      <c r="E27" s="130">
        <v>30</v>
      </c>
      <c r="F27" s="131">
        <v>550.51</v>
      </c>
      <c r="G27" s="16">
        <f t="shared" si="1"/>
        <v>16515.3</v>
      </c>
      <c r="H27" s="128" t="s">
        <v>165</v>
      </c>
    </row>
    <row r="28" spans="1:8" customFormat="1" ht="24.75">
      <c r="A28" s="125" t="s">
        <v>148</v>
      </c>
      <c r="B28" s="126" t="s">
        <v>149</v>
      </c>
      <c r="C28" s="127" t="s">
        <v>150</v>
      </c>
      <c r="D28" s="129" t="s">
        <v>151</v>
      </c>
      <c r="E28" s="130">
        <v>0.02</v>
      </c>
      <c r="F28" s="131">
        <v>2721.04</v>
      </c>
      <c r="G28" s="16">
        <f t="shared" si="1"/>
        <v>54.42</v>
      </c>
      <c r="H28" t="s">
        <v>165</v>
      </c>
    </row>
    <row r="29" spans="1:8" customFormat="1" ht="36">
      <c r="A29" s="125" t="s">
        <v>152</v>
      </c>
      <c r="B29" s="126" t="s">
        <v>121</v>
      </c>
      <c r="C29" s="127" t="s">
        <v>123</v>
      </c>
      <c r="D29" s="131" t="s">
        <v>14</v>
      </c>
      <c r="E29" s="130">
        <v>75</v>
      </c>
      <c r="F29" s="131">
        <v>2173.36</v>
      </c>
      <c r="G29" s="16">
        <f t="shared" si="1"/>
        <v>163002</v>
      </c>
      <c r="H29" s="128" t="s">
        <v>165</v>
      </c>
    </row>
    <row r="30" spans="1:8" customFormat="1" ht="24">
      <c r="A30" s="125" t="s">
        <v>153</v>
      </c>
      <c r="B30" s="126" t="s">
        <v>154</v>
      </c>
      <c r="C30" s="127" t="s">
        <v>155</v>
      </c>
      <c r="D30" s="129" t="s">
        <v>18</v>
      </c>
      <c r="E30" s="130">
        <v>5</v>
      </c>
      <c r="F30" s="131">
        <v>420.03</v>
      </c>
      <c r="G30" s="16">
        <f t="shared" si="1"/>
        <v>2100.15</v>
      </c>
      <c r="H30" t="s">
        <v>165</v>
      </c>
    </row>
    <row r="31" spans="1:8" customFormat="1" ht="24">
      <c r="A31" s="125" t="s">
        <v>156</v>
      </c>
      <c r="B31" s="126" t="s">
        <v>157</v>
      </c>
      <c r="C31" s="127" t="s">
        <v>158</v>
      </c>
      <c r="D31" s="129" t="s">
        <v>18</v>
      </c>
      <c r="E31" s="130">
        <v>7</v>
      </c>
      <c r="F31" s="131">
        <v>123.58</v>
      </c>
      <c r="G31" s="16">
        <f t="shared" si="1"/>
        <v>865.06</v>
      </c>
      <c r="H31" s="128" t="s">
        <v>165</v>
      </c>
    </row>
    <row r="32" spans="1:8" customFormat="1" ht="24">
      <c r="A32" s="125" t="s">
        <v>159</v>
      </c>
      <c r="B32" s="126" t="s">
        <v>160</v>
      </c>
      <c r="C32" s="127" t="s">
        <v>161</v>
      </c>
      <c r="D32" s="129" t="s">
        <v>18</v>
      </c>
      <c r="E32" s="130">
        <v>12</v>
      </c>
      <c r="F32" s="131">
        <v>123.58</v>
      </c>
      <c r="G32" s="16">
        <f t="shared" si="1"/>
        <v>1482.96</v>
      </c>
      <c r="H32" t="s">
        <v>165</v>
      </c>
    </row>
    <row r="33" spans="1:8" customFormat="1" ht="48">
      <c r="A33" s="125" t="s">
        <v>162</v>
      </c>
      <c r="B33" s="126" t="s">
        <v>163</v>
      </c>
      <c r="C33" s="127" t="s">
        <v>164</v>
      </c>
      <c r="D33" s="129" t="s">
        <v>18</v>
      </c>
      <c r="E33" s="130">
        <v>12</v>
      </c>
      <c r="F33" s="131">
        <v>138.61000000000001</v>
      </c>
      <c r="G33" s="16">
        <f t="shared" si="1"/>
        <v>1663.32</v>
      </c>
      <c r="H33" s="128" t="s">
        <v>165</v>
      </c>
    </row>
    <row r="34" spans="1:8" s="117" customFormat="1">
      <c r="A34" s="118"/>
      <c r="B34" s="119"/>
      <c r="C34" s="120" t="s">
        <v>167</v>
      </c>
      <c r="D34" s="121"/>
      <c r="E34" s="122"/>
      <c r="F34" s="123"/>
      <c r="G34" s="124">
        <f>SUM(G26:G33)</f>
        <v>298180.65000000002</v>
      </c>
    </row>
    <row r="35" spans="1:8" customFormat="1" ht="60">
      <c r="A35" s="125" t="s">
        <v>45</v>
      </c>
      <c r="B35" s="126" t="s">
        <v>144</v>
      </c>
      <c r="C35" s="127" t="s">
        <v>145</v>
      </c>
      <c r="D35" s="129" t="s">
        <v>146</v>
      </c>
      <c r="E35" s="130">
        <f>18*9*0.2*0.2</f>
        <v>6.48</v>
      </c>
      <c r="F35" s="131">
        <v>5113.5200000000004</v>
      </c>
      <c r="G35" s="16">
        <f t="shared" ref="G35:G39" si="2">E35*F35</f>
        <v>33135.61</v>
      </c>
      <c r="H35" t="s">
        <v>313</v>
      </c>
    </row>
    <row r="36" spans="1:8" customFormat="1" ht="24">
      <c r="A36" s="125"/>
      <c r="B36" s="126" t="s">
        <v>154</v>
      </c>
      <c r="C36" s="127" t="s">
        <v>155</v>
      </c>
      <c r="D36" s="129" t="s">
        <v>18</v>
      </c>
      <c r="E36" s="130">
        <f>6.48*0.7*0.3</f>
        <v>1.3608</v>
      </c>
      <c r="F36" s="131">
        <v>420.03</v>
      </c>
      <c r="G36" s="16">
        <f t="shared" si="2"/>
        <v>571.58000000000004</v>
      </c>
      <c r="H36" t="s">
        <v>313</v>
      </c>
    </row>
    <row r="37" spans="1:8" customFormat="1" ht="24">
      <c r="A37" s="125"/>
      <c r="B37" s="126" t="s">
        <v>157</v>
      </c>
      <c r="C37" s="127" t="s">
        <v>158</v>
      </c>
      <c r="D37" s="129" t="s">
        <v>18</v>
      </c>
      <c r="E37" s="130">
        <f>6.48*0.7*0.7</f>
        <v>3.1751999999999998</v>
      </c>
      <c r="F37" s="131">
        <v>123.58</v>
      </c>
      <c r="G37" s="16">
        <f t="shared" si="2"/>
        <v>392.39</v>
      </c>
      <c r="H37" t="s">
        <v>313</v>
      </c>
    </row>
    <row r="38" spans="1:8" customFormat="1" ht="24">
      <c r="A38" s="125"/>
      <c r="B38" s="126" t="s">
        <v>160</v>
      </c>
      <c r="C38" s="127" t="s">
        <v>161</v>
      </c>
      <c r="D38" s="129" t="s">
        <v>18</v>
      </c>
      <c r="E38" s="130">
        <f>6.48*0.7*0.7</f>
        <v>3.1751999999999998</v>
      </c>
      <c r="F38" s="131">
        <v>123.58</v>
      </c>
      <c r="G38" s="16">
        <f t="shared" si="2"/>
        <v>392.39</v>
      </c>
      <c r="H38" t="s">
        <v>313</v>
      </c>
    </row>
    <row r="39" spans="1:8" customFormat="1" ht="48">
      <c r="A39" s="125"/>
      <c r="B39" s="126" t="s">
        <v>163</v>
      </c>
      <c r="C39" s="127" t="s">
        <v>164</v>
      </c>
      <c r="D39" s="129" t="s">
        <v>18</v>
      </c>
      <c r="E39" s="130">
        <f>6.48*0.7</f>
        <v>4.5359999999999996</v>
      </c>
      <c r="F39" s="131">
        <v>138.61000000000001</v>
      </c>
      <c r="G39" s="16">
        <f t="shared" si="2"/>
        <v>628.73</v>
      </c>
      <c r="H39" t="s">
        <v>313</v>
      </c>
    </row>
    <row r="40" spans="1:8" s="117" customFormat="1">
      <c r="A40" s="118"/>
      <c r="B40" s="119"/>
      <c r="C40" s="120" t="s">
        <v>314</v>
      </c>
      <c r="D40" s="121"/>
      <c r="E40" s="122"/>
      <c r="F40" s="123"/>
      <c r="G40" s="124">
        <f>SUM(G35:G39)</f>
        <v>35120.699999999997</v>
      </c>
    </row>
    <row r="41" spans="1:8" customFormat="1" ht="60">
      <c r="A41" s="125" t="s">
        <v>45</v>
      </c>
      <c r="B41" s="126" t="s">
        <v>144</v>
      </c>
      <c r="C41" s="127" t="s">
        <v>145</v>
      </c>
      <c r="D41" s="129" t="s">
        <v>146</v>
      </c>
      <c r="E41" s="130">
        <v>7.52</v>
      </c>
      <c r="F41" s="131">
        <v>5113.5200000000004</v>
      </c>
      <c r="G41" s="16">
        <f t="shared" ref="G41:G45" si="3">E41*F41</f>
        <v>38453.67</v>
      </c>
      <c r="H41" t="s">
        <v>371</v>
      </c>
    </row>
    <row r="42" spans="1:8" customFormat="1" ht="24">
      <c r="A42" s="125"/>
      <c r="B42" s="126" t="s">
        <v>154</v>
      </c>
      <c r="C42" s="127" t="s">
        <v>155</v>
      </c>
      <c r="D42" s="129" t="s">
        <v>18</v>
      </c>
      <c r="E42" s="130">
        <f>E41*0.7*0.3</f>
        <v>1.5791999999999999</v>
      </c>
      <c r="F42" s="131">
        <v>420.03</v>
      </c>
      <c r="G42" s="16">
        <f t="shared" si="3"/>
        <v>663.31</v>
      </c>
      <c r="H42" t="s">
        <v>371</v>
      </c>
    </row>
    <row r="43" spans="1:8" customFormat="1" ht="24">
      <c r="A43" s="125"/>
      <c r="B43" s="126" t="s">
        <v>157</v>
      </c>
      <c r="C43" s="127" t="s">
        <v>158</v>
      </c>
      <c r="D43" s="129" t="s">
        <v>18</v>
      </c>
      <c r="E43" s="130">
        <f>E41*0.7*0.7</f>
        <v>3.6848000000000001</v>
      </c>
      <c r="F43" s="131">
        <v>123.58</v>
      </c>
      <c r="G43" s="16">
        <f t="shared" si="3"/>
        <v>455.37</v>
      </c>
      <c r="H43" t="s">
        <v>371</v>
      </c>
    </row>
    <row r="44" spans="1:8" customFormat="1" ht="24">
      <c r="A44" s="125"/>
      <c r="B44" s="126" t="s">
        <v>160</v>
      </c>
      <c r="C44" s="127" t="s">
        <v>161</v>
      </c>
      <c r="D44" s="129" t="s">
        <v>18</v>
      </c>
      <c r="E44" s="130">
        <f>E41*0.7*0.7</f>
        <v>3.6848000000000001</v>
      </c>
      <c r="F44" s="131">
        <v>123.58</v>
      </c>
      <c r="G44" s="16">
        <f t="shared" si="3"/>
        <v>455.37</v>
      </c>
      <c r="H44" t="s">
        <v>371</v>
      </c>
    </row>
    <row r="45" spans="1:8" customFormat="1" ht="48">
      <c r="A45" s="125"/>
      <c r="B45" s="126" t="s">
        <v>163</v>
      </c>
      <c r="C45" s="127" t="s">
        <v>164</v>
      </c>
      <c r="D45" s="129" t="s">
        <v>18</v>
      </c>
      <c r="E45" s="130">
        <f>E41*0.7</f>
        <v>5.2640000000000002</v>
      </c>
      <c r="F45" s="131">
        <v>138.61000000000001</v>
      </c>
      <c r="G45" s="16">
        <f t="shared" si="3"/>
        <v>729.64</v>
      </c>
      <c r="H45" t="s">
        <v>371</v>
      </c>
    </row>
    <row r="46" spans="1:8" s="117" customFormat="1">
      <c r="A46" s="118"/>
      <c r="B46" s="119"/>
      <c r="C46" s="120" t="s">
        <v>372</v>
      </c>
      <c r="D46" s="121"/>
      <c r="E46" s="122"/>
      <c r="F46" s="123"/>
      <c r="G46" s="124">
        <f>SUM(G41:G45)</f>
        <v>40757.360000000001</v>
      </c>
    </row>
    <row r="47" spans="1:8" s="209" customFormat="1" ht="60">
      <c r="A47" s="177" t="s">
        <v>45</v>
      </c>
      <c r="B47" s="191" t="s">
        <v>144</v>
      </c>
      <c r="C47" s="178" t="s">
        <v>145</v>
      </c>
      <c r="D47" s="192" t="s">
        <v>146</v>
      </c>
      <c r="E47" s="213">
        <f>4*1.6</f>
        <v>6.4</v>
      </c>
      <c r="F47" s="181">
        <v>5113.5200000000004</v>
      </c>
      <c r="G47" s="114">
        <f t="shared" ref="G47:G51" si="4">E47*F47</f>
        <v>32726.53</v>
      </c>
      <c r="H47" s="209" t="s">
        <v>476</v>
      </c>
    </row>
    <row r="48" spans="1:8" s="209" customFormat="1" ht="24">
      <c r="A48" s="177"/>
      <c r="B48" s="191" t="s">
        <v>154</v>
      </c>
      <c r="C48" s="178" t="s">
        <v>155</v>
      </c>
      <c r="D48" s="192" t="s">
        <v>18</v>
      </c>
      <c r="E48" s="213">
        <f>E47*0.7*0.3</f>
        <v>1.3440000000000001</v>
      </c>
      <c r="F48" s="181">
        <v>420.03</v>
      </c>
      <c r="G48" s="114">
        <f t="shared" si="4"/>
        <v>564.52</v>
      </c>
      <c r="H48" s="209" t="s">
        <v>476</v>
      </c>
    </row>
    <row r="49" spans="1:8" s="209" customFormat="1" ht="24">
      <c r="A49" s="177"/>
      <c r="B49" s="191" t="s">
        <v>157</v>
      </c>
      <c r="C49" s="178" t="s">
        <v>158</v>
      </c>
      <c r="D49" s="192" t="s">
        <v>18</v>
      </c>
      <c r="E49" s="213">
        <f>E47*0.7*0.7</f>
        <v>3.1360000000000001</v>
      </c>
      <c r="F49" s="181">
        <v>123.58</v>
      </c>
      <c r="G49" s="114">
        <f t="shared" si="4"/>
        <v>387.55</v>
      </c>
      <c r="H49" s="209" t="s">
        <v>476</v>
      </c>
    </row>
    <row r="50" spans="1:8" s="209" customFormat="1" ht="24">
      <c r="A50" s="177"/>
      <c r="B50" s="191" t="s">
        <v>160</v>
      </c>
      <c r="C50" s="178" t="s">
        <v>161</v>
      </c>
      <c r="D50" s="192" t="s">
        <v>18</v>
      </c>
      <c r="E50" s="213">
        <f>E47*0.7*0.7</f>
        <v>3.1360000000000001</v>
      </c>
      <c r="F50" s="181">
        <v>123.58</v>
      </c>
      <c r="G50" s="114">
        <f t="shared" si="4"/>
        <v>387.55</v>
      </c>
      <c r="H50" s="209" t="s">
        <v>476</v>
      </c>
    </row>
    <row r="51" spans="1:8" s="209" customFormat="1" ht="48">
      <c r="A51" s="177"/>
      <c r="B51" s="191" t="s">
        <v>163</v>
      </c>
      <c r="C51" s="178" t="s">
        <v>164</v>
      </c>
      <c r="D51" s="192" t="s">
        <v>18</v>
      </c>
      <c r="E51" s="213">
        <f>E47*0.7</f>
        <v>4.4800000000000004</v>
      </c>
      <c r="F51" s="181">
        <v>138.61000000000001</v>
      </c>
      <c r="G51" s="114">
        <f t="shared" si="4"/>
        <v>620.97</v>
      </c>
      <c r="H51" s="209" t="s">
        <v>476</v>
      </c>
    </row>
    <row r="52" spans="1:8" s="176" customFormat="1">
      <c r="A52" s="169"/>
      <c r="B52" s="170"/>
      <c r="C52" s="171" t="s">
        <v>477</v>
      </c>
      <c r="D52" s="172"/>
      <c r="E52" s="173"/>
      <c r="F52" s="174"/>
      <c r="G52" s="175">
        <f>SUM(G47:G51)</f>
        <v>34687.120000000003</v>
      </c>
    </row>
    <row r="53" spans="1:8" s="209" customFormat="1" ht="60">
      <c r="A53" s="177" t="s">
        <v>45</v>
      </c>
      <c r="B53" s="191" t="s">
        <v>144</v>
      </c>
      <c r="C53" s="178" t="s">
        <v>145</v>
      </c>
      <c r="D53" s="192" t="s">
        <v>146</v>
      </c>
      <c r="E53" s="213">
        <v>16</v>
      </c>
      <c r="F53" s="181">
        <v>5113.5200000000004</v>
      </c>
      <c r="G53" s="114">
        <f t="shared" ref="G53:G57" si="5">E53*F53</f>
        <v>81816.320000000007</v>
      </c>
      <c r="H53" s="209" t="s">
        <v>500</v>
      </c>
    </row>
    <row r="54" spans="1:8" s="209" customFormat="1" ht="24">
      <c r="A54" s="177" t="s">
        <v>147</v>
      </c>
      <c r="B54" s="191" t="s">
        <v>154</v>
      </c>
      <c r="C54" s="178" t="s">
        <v>155</v>
      </c>
      <c r="D54" s="192" t="s">
        <v>18</v>
      </c>
      <c r="E54" s="213">
        <f>E53*0.7*0.3</f>
        <v>3.36</v>
      </c>
      <c r="F54" s="181">
        <v>420.03</v>
      </c>
      <c r="G54" s="114">
        <f t="shared" si="5"/>
        <v>1411.3</v>
      </c>
      <c r="H54" s="209" t="s">
        <v>500</v>
      </c>
    </row>
    <row r="55" spans="1:8" s="209" customFormat="1" ht="24">
      <c r="A55" s="177" t="s">
        <v>148</v>
      </c>
      <c r="B55" s="191" t="s">
        <v>157</v>
      </c>
      <c r="C55" s="178" t="s">
        <v>158</v>
      </c>
      <c r="D55" s="192" t="s">
        <v>18</v>
      </c>
      <c r="E55" s="213">
        <f>E53*0.7*0.7</f>
        <v>7.84</v>
      </c>
      <c r="F55" s="181">
        <v>123.58</v>
      </c>
      <c r="G55" s="114">
        <f t="shared" si="5"/>
        <v>968.87</v>
      </c>
      <c r="H55" s="209" t="s">
        <v>500</v>
      </c>
    </row>
    <row r="56" spans="1:8" s="209" customFormat="1" ht="24">
      <c r="A56" s="177" t="s">
        <v>152</v>
      </c>
      <c r="B56" s="191" t="s">
        <v>160</v>
      </c>
      <c r="C56" s="178" t="s">
        <v>161</v>
      </c>
      <c r="D56" s="192" t="s">
        <v>18</v>
      </c>
      <c r="E56" s="213">
        <f>E53*0.7*0.7</f>
        <v>7.84</v>
      </c>
      <c r="F56" s="181">
        <v>123.58</v>
      </c>
      <c r="G56" s="114">
        <f t="shared" si="5"/>
        <v>968.87</v>
      </c>
      <c r="H56" s="209" t="s">
        <v>500</v>
      </c>
    </row>
    <row r="57" spans="1:8" s="209" customFormat="1" ht="48">
      <c r="A57" s="177" t="s">
        <v>153</v>
      </c>
      <c r="B57" s="191" t="s">
        <v>163</v>
      </c>
      <c r="C57" s="178" t="s">
        <v>164</v>
      </c>
      <c r="D57" s="192" t="s">
        <v>18</v>
      </c>
      <c r="E57" s="213">
        <f>E53*0.7</f>
        <v>11.2</v>
      </c>
      <c r="F57" s="181">
        <v>138.61000000000001</v>
      </c>
      <c r="G57" s="114">
        <f t="shared" si="5"/>
        <v>1552.43</v>
      </c>
      <c r="H57" s="209" t="s">
        <v>500</v>
      </c>
    </row>
    <row r="58" spans="1:8" s="176" customFormat="1">
      <c r="A58" s="169"/>
      <c r="B58" s="170"/>
      <c r="C58" s="171" t="s">
        <v>501</v>
      </c>
      <c r="D58" s="172"/>
      <c r="E58" s="173"/>
      <c r="F58" s="174"/>
      <c r="G58" s="175">
        <f>SUM(G53:G57)</f>
        <v>86717.79</v>
      </c>
    </row>
    <row r="59" spans="1:8" s="209" customFormat="1" ht="60">
      <c r="A59" s="177" t="s">
        <v>45</v>
      </c>
      <c r="B59" s="191" t="s">
        <v>144</v>
      </c>
      <c r="C59" s="178" t="s">
        <v>145</v>
      </c>
      <c r="D59" s="192" t="s">
        <v>146</v>
      </c>
      <c r="E59" s="213">
        <f>7*1</f>
        <v>7</v>
      </c>
      <c r="F59" s="181">
        <v>5113.5200000000004</v>
      </c>
      <c r="G59" s="114">
        <f t="shared" ref="G59:G62" si="6">E59*F59</f>
        <v>35794.639999999999</v>
      </c>
      <c r="H59" s="209" t="s">
        <v>527</v>
      </c>
    </row>
    <row r="60" spans="1:8" s="209" customFormat="1" ht="48">
      <c r="A60" s="177" t="s">
        <v>147</v>
      </c>
      <c r="B60" s="191" t="s">
        <v>523</v>
      </c>
      <c r="C60" s="178" t="s">
        <v>524</v>
      </c>
      <c r="D60" s="230" t="s">
        <v>146</v>
      </c>
      <c r="E60" s="213">
        <f>26*2</f>
        <v>52</v>
      </c>
      <c r="F60" s="181">
        <v>1483.59</v>
      </c>
      <c r="G60" s="114">
        <f t="shared" si="6"/>
        <v>77146.679999999993</v>
      </c>
      <c r="H60" s="209" t="s">
        <v>527</v>
      </c>
    </row>
    <row r="61" spans="1:8" s="194" customFormat="1" ht="24">
      <c r="A61" s="183" t="s">
        <v>148</v>
      </c>
      <c r="B61" s="191" t="s">
        <v>350</v>
      </c>
      <c r="C61" s="178" t="s">
        <v>351</v>
      </c>
      <c r="D61" s="192" t="s">
        <v>352</v>
      </c>
      <c r="E61" s="192">
        <f>93-13-28</f>
        <v>52</v>
      </c>
      <c r="F61" s="193">
        <v>1794.63</v>
      </c>
      <c r="G61" s="114">
        <f t="shared" si="6"/>
        <v>93320.76</v>
      </c>
      <c r="H61" s="209" t="s">
        <v>527</v>
      </c>
    </row>
    <row r="62" spans="1:8" s="209" customFormat="1" ht="24">
      <c r="A62" s="177" t="s">
        <v>152</v>
      </c>
      <c r="B62" s="191" t="s">
        <v>525</v>
      </c>
      <c r="C62" s="178" t="s">
        <v>526</v>
      </c>
      <c r="D62" s="230" t="s">
        <v>352</v>
      </c>
      <c r="E62" s="231">
        <v>73</v>
      </c>
      <c r="F62" s="216">
        <v>1192.22</v>
      </c>
      <c r="G62" s="114">
        <f t="shared" si="6"/>
        <v>87032.06</v>
      </c>
      <c r="H62" s="209" t="s">
        <v>527</v>
      </c>
    </row>
    <row r="63" spans="1:8" s="176" customFormat="1">
      <c r="A63" s="169"/>
      <c r="B63" s="170"/>
      <c r="C63" s="171" t="s">
        <v>528</v>
      </c>
      <c r="D63" s="232"/>
      <c r="E63" s="173"/>
      <c r="F63" s="174"/>
      <c r="G63" s="175">
        <f>SUM(G59:G62)</f>
        <v>293294.14</v>
      </c>
    </row>
    <row r="64" spans="1:8" s="209" customFormat="1" ht="48">
      <c r="A64" s="177" t="s">
        <v>45</v>
      </c>
      <c r="B64" s="191" t="s">
        <v>523</v>
      </c>
      <c r="C64" s="178" t="s">
        <v>524</v>
      </c>
      <c r="D64" s="230" t="s">
        <v>146</v>
      </c>
      <c r="E64" s="213">
        <f>2*2</f>
        <v>4</v>
      </c>
      <c r="F64" s="181">
        <v>1483.59</v>
      </c>
      <c r="G64" s="114">
        <f t="shared" ref="G64:G70" si="7">E64*F64</f>
        <v>5934.36</v>
      </c>
      <c r="H64" s="209" t="s">
        <v>567</v>
      </c>
    </row>
    <row r="65" spans="1:8" s="194" customFormat="1" ht="24">
      <c r="A65" s="183" t="s">
        <v>147</v>
      </c>
      <c r="B65" s="191" t="s">
        <v>350</v>
      </c>
      <c r="C65" s="178" t="s">
        <v>351</v>
      </c>
      <c r="D65" s="192" t="s">
        <v>352</v>
      </c>
      <c r="E65" s="192">
        <v>19</v>
      </c>
      <c r="F65" s="193">
        <v>1794.63</v>
      </c>
      <c r="G65" s="114">
        <f t="shared" si="7"/>
        <v>34097.97</v>
      </c>
      <c r="H65" s="194" t="s">
        <v>567</v>
      </c>
    </row>
    <row r="66" spans="1:8" s="209" customFormat="1" ht="24">
      <c r="A66" s="177" t="s">
        <v>148</v>
      </c>
      <c r="B66" s="191" t="s">
        <v>525</v>
      </c>
      <c r="C66" s="178" t="s">
        <v>526</v>
      </c>
      <c r="D66" s="230" t="s">
        <v>352</v>
      </c>
      <c r="E66" s="231">
        <v>16</v>
      </c>
      <c r="F66" s="216">
        <v>1192.22</v>
      </c>
      <c r="G66" s="114">
        <f t="shared" si="7"/>
        <v>19075.52</v>
      </c>
      <c r="H66" s="209" t="s">
        <v>567</v>
      </c>
    </row>
    <row r="67" spans="1:8" s="209" customFormat="1" ht="24">
      <c r="A67" s="183" t="s">
        <v>152</v>
      </c>
      <c r="B67" s="191" t="s">
        <v>154</v>
      </c>
      <c r="C67" s="178" t="s">
        <v>155</v>
      </c>
      <c r="D67" s="192" t="s">
        <v>18</v>
      </c>
      <c r="E67" s="213">
        <f>E70*0.3</f>
        <v>13.23</v>
      </c>
      <c r="F67" s="181">
        <v>420.03</v>
      </c>
      <c r="G67" s="114">
        <f t="shared" si="7"/>
        <v>5557</v>
      </c>
      <c r="H67" s="194" t="s">
        <v>567</v>
      </c>
    </row>
    <row r="68" spans="1:8" s="209" customFormat="1" ht="24">
      <c r="A68" s="177" t="s">
        <v>153</v>
      </c>
      <c r="B68" s="191" t="s">
        <v>157</v>
      </c>
      <c r="C68" s="178" t="s">
        <v>158</v>
      </c>
      <c r="D68" s="192" t="s">
        <v>18</v>
      </c>
      <c r="E68" s="213">
        <f>E70*0.7</f>
        <v>30.87</v>
      </c>
      <c r="F68" s="181">
        <v>123.58</v>
      </c>
      <c r="G68" s="114">
        <f t="shared" si="7"/>
        <v>3814.91</v>
      </c>
      <c r="H68" s="209" t="s">
        <v>567</v>
      </c>
    </row>
    <row r="69" spans="1:8" s="209" customFormat="1" ht="24">
      <c r="A69" s="183" t="s">
        <v>156</v>
      </c>
      <c r="B69" s="191" t="s">
        <v>160</v>
      </c>
      <c r="C69" s="178" t="s">
        <v>161</v>
      </c>
      <c r="D69" s="192" t="s">
        <v>18</v>
      </c>
      <c r="E69" s="213">
        <f>E70*0.7</f>
        <v>30.87</v>
      </c>
      <c r="F69" s="181">
        <v>123.58</v>
      </c>
      <c r="G69" s="114">
        <f t="shared" si="7"/>
        <v>3814.91</v>
      </c>
      <c r="H69" s="194" t="s">
        <v>567</v>
      </c>
    </row>
    <row r="70" spans="1:8" s="209" customFormat="1" ht="60">
      <c r="A70" s="177" t="s">
        <v>159</v>
      </c>
      <c r="B70" s="191" t="s">
        <v>163</v>
      </c>
      <c r="C70" s="178" t="s">
        <v>566</v>
      </c>
      <c r="D70" s="192" t="s">
        <v>18</v>
      </c>
      <c r="E70" s="213">
        <f>(E64+7+52)*0.7</f>
        <v>44.1</v>
      </c>
      <c r="F70" s="181">
        <v>138.61000000000001</v>
      </c>
      <c r="G70" s="114">
        <f t="shared" si="7"/>
        <v>6112.7</v>
      </c>
      <c r="H70" s="209" t="s">
        <v>567</v>
      </c>
    </row>
    <row r="71" spans="1:8" s="176" customFormat="1">
      <c r="A71" s="169"/>
      <c r="B71" s="170"/>
      <c r="C71" s="171" t="s">
        <v>568</v>
      </c>
      <c r="D71" s="232"/>
      <c r="E71" s="173"/>
      <c r="F71" s="174"/>
      <c r="G71" s="175">
        <f>SUM(G64:G70)</f>
        <v>78407.37</v>
      </c>
    </row>
    <row r="72" spans="1:8" s="209" customFormat="1" ht="24">
      <c r="A72" s="177" t="s">
        <v>45</v>
      </c>
      <c r="B72" s="191" t="s">
        <v>154</v>
      </c>
      <c r="C72" s="178" t="s">
        <v>155</v>
      </c>
      <c r="D72" s="192" t="s">
        <v>18</v>
      </c>
      <c r="E72" s="213">
        <f>E75*0.3</f>
        <v>82.8</v>
      </c>
      <c r="F72" s="181">
        <v>420.03</v>
      </c>
      <c r="G72" s="114">
        <f t="shared" ref="G72:G75" si="8">E72*F72</f>
        <v>34778.480000000003</v>
      </c>
      <c r="H72" s="209" t="s">
        <v>530</v>
      </c>
    </row>
    <row r="73" spans="1:8" s="209" customFormat="1" ht="24">
      <c r="A73" s="177" t="s">
        <v>147</v>
      </c>
      <c r="B73" s="191" t="s">
        <v>157</v>
      </c>
      <c r="C73" s="178" t="s">
        <v>158</v>
      </c>
      <c r="D73" s="192" t="s">
        <v>18</v>
      </c>
      <c r="E73" s="213">
        <f>E75*0.7</f>
        <v>193.2</v>
      </c>
      <c r="F73" s="181">
        <v>123.58</v>
      </c>
      <c r="G73" s="114">
        <f t="shared" si="8"/>
        <v>23875.66</v>
      </c>
      <c r="H73" s="209" t="s">
        <v>530</v>
      </c>
    </row>
    <row r="74" spans="1:8" s="209" customFormat="1" ht="24">
      <c r="A74" s="177" t="s">
        <v>148</v>
      </c>
      <c r="B74" s="191" t="s">
        <v>160</v>
      </c>
      <c r="C74" s="178" t="s">
        <v>161</v>
      </c>
      <c r="D74" s="192" t="s">
        <v>18</v>
      </c>
      <c r="E74" s="213">
        <f>E73</f>
        <v>193.2</v>
      </c>
      <c r="F74" s="181">
        <v>123.58</v>
      </c>
      <c r="G74" s="114">
        <f t="shared" si="8"/>
        <v>23875.66</v>
      </c>
      <c r="H74" s="209" t="s">
        <v>530</v>
      </c>
    </row>
    <row r="75" spans="1:8" s="209" customFormat="1" ht="48">
      <c r="A75" s="177" t="s">
        <v>152</v>
      </c>
      <c r="B75" s="191" t="s">
        <v>163</v>
      </c>
      <c r="C75" s="178" t="s">
        <v>164</v>
      </c>
      <c r="D75" s="192" t="s">
        <v>18</v>
      </c>
      <c r="E75" s="111">
        <f>46*6</f>
        <v>276</v>
      </c>
      <c r="F75" s="181">
        <v>138.61000000000001</v>
      </c>
      <c r="G75" s="114">
        <f t="shared" si="8"/>
        <v>38256.36</v>
      </c>
      <c r="H75" s="209" t="s">
        <v>530</v>
      </c>
    </row>
    <row r="76" spans="1:8" s="176" customFormat="1">
      <c r="A76" s="169"/>
      <c r="B76" s="170"/>
      <c r="C76" s="171" t="s">
        <v>691</v>
      </c>
      <c r="D76" s="232"/>
      <c r="E76" s="173"/>
      <c r="F76" s="174"/>
      <c r="G76" s="175">
        <f>SUM(G72:G75)</f>
        <v>120786.16</v>
      </c>
    </row>
    <row r="77" spans="1:8" s="32" customFormat="1">
      <c r="A77" s="25"/>
      <c r="B77" s="26"/>
      <c r="C77" s="27" t="s">
        <v>142</v>
      </c>
      <c r="D77" s="28"/>
      <c r="E77" s="29"/>
      <c r="F77" s="30"/>
      <c r="G77" s="31">
        <f>G25+G34+G40+G46+G52+G58+G63+G71+G76</f>
        <v>1180130.32</v>
      </c>
    </row>
    <row r="78" spans="1:8" s="32" customFormat="1">
      <c r="A78" s="101"/>
      <c r="B78" s="102"/>
      <c r="C78" s="103"/>
      <c r="D78" s="104"/>
      <c r="E78" s="105"/>
      <c r="F78" s="106"/>
      <c r="G78" s="107"/>
    </row>
    <row r="79" spans="1:8" s="32" customFormat="1">
      <c r="A79" s="101"/>
      <c r="B79" s="102"/>
      <c r="C79" s="103"/>
      <c r="D79" s="104"/>
      <c r="E79" s="105"/>
      <c r="F79" s="106"/>
      <c r="G79" s="107"/>
    </row>
    <row r="80" spans="1:8" s="228" customFormat="1" ht="72">
      <c r="A80" s="222"/>
      <c r="B80" s="223"/>
      <c r="C80" s="229" t="s">
        <v>502</v>
      </c>
      <c r="D80" s="224"/>
      <c r="E80" s="225"/>
      <c r="F80" s="226"/>
      <c r="G80" s="227"/>
    </row>
    <row r="81" spans="1:10" s="209" customFormat="1" ht="24">
      <c r="A81" s="177" t="s">
        <v>45</v>
      </c>
      <c r="B81" s="191" t="s">
        <v>154</v>
      </c>
      <c r="C81" s="178" t="s">
        <v>155</v>
      </c>
      <c r="D81" s="192" t="s">
        <v>18</v>
      </c>
      <c r="E81" s="213">
        <f>E84*0.3</f>
        <v>60</v>
      </c>
      <c r="F81" s="181">
        <v>420.03</v>
      </c>
      <c r="G81" s="114">
        <f t="shared" ref="G81:G84" si="9">E81*F81</f>
        <v>25201.8</v>
      </c>
      <c r="H81" s="209" t="s">
        <v>500</v>
      </c>
    </row>
    <row r="82" spans="1:10" s="209" customFormat="1" ht="24">
      <c r="A82" s="177" t="s">
        <v>147</v>
      </c>
      <c r="B82" s="191" t="s">
        <v>157</v>
      </c>
      <c r="C82" s="178" t="s">
        <v>158</v>
      </c>
      <c r="D82" s="192" t="s">
        <v>18</v>
      </c>
      <c r="E82" s="213">
        <f>E84*0.7</f>
        <v>140</v>
      </c>
      <c r="F82" s="181">
        <v>123.58</v>
      </c>
      <c r="G82" s="114">
        <f t="shared" si="9"/>
        <v>17301.2</v>
      </c>
      <c r="H82" s="209" t="s">
        <v>500</v>
      </c>
    </row>
    <row r="83" spans="1:10" s="209" customFormat="1" ht="24">
      <c r="A83" s="177" t="s">
        <v>148</v>
      </c>
      <c r="B83" s="191" t="s">
        <v>160</v>
      </c>
      <c r="C83" s="178" t="s">
        <v>161</v>
      </c>
      <c r="D83" s="192" t="s">
        <v>18</v>
      </c>
      <c r="E83" s="213">
        <f>E82</f>
        <v>140</v>
      </c>
      <c r="F83" s="181">
        <v>123.58</v>
      </c>
      <c r="G83" s="114">
        <f t="shared" si="9"/>
        <v>17301.2</v>
      </c>
      <c r="H83" s="209" t="s">
        <v>500</v>
      </c>
    </row>
    <row r="84" spans="1:10" s="209" customFormat="1" ht="48">
      <c r="A84" s="177" t="s">
        <v>152</v>
      </c>
      <c r="B84" s="191" t="s">
        <v>163</v>
      </c>
      <c r="C84" s="178" t="s">
        <v>164</v>
      </c>
      <c r="D84" s="192" t="s">
        <v>18</v>
      </c>
      <c r="E84" s="111">
        <f>5*6+17*10</f>
        <v>200</v>
      </c>
      <c r="F84" s="181">
        <v>138.61000000000001</v>
      </c>
      <c r="G84" s="114">
        <f t="shared" si="9"/>
        <v>27722</v>
      </c>
      <c r="H84" s="209" t="s">
        <v>500</v>
      </c>
      <c r="J84" s="209">
        <f>E84+E89+E94</f>
        <v>1402</v>
      </c>
    </row>
    <row r="85" spans="1:10" s="176" customFormat="1">
      <c r="A85" s="169"/>
      <c r="B85" s="170"/>
      <c r="C85" s="171" t="s">
        <v>501</v>
      </c>
      <c r="D85" s="172"/>
      <c r="E85" s="173"/>
      <c r="F85" s="174"/>
      <c r="G85" s="175">
        <f>SUM(G81:G84)</f>
        <v>87526.2</v>
      </c>
    </row>
    <row r="86" spans="1:10" s="209" customFormat="1" ht="24">
      <c r="A86" s="177" t="s">
        <v>153</v>
      </c>
      <c r="B86" s="191" t="s">
        <v>154</v>
      </c>
      <c r="C86" s="178" t="s">
        <v>155</v>
      </c>
      <c r="D86" s="192" t="s">
        <v>18</v>
      </c>
      <c r="E86" s="213">
        <f>E89*0.3</f>
        <v>220.2</v>
      </c>
      <c r="F86" s="181">
        <v>420.03</v>
      </c>
      <c r="G86" s="114">
        <f t="shared" ref="G86:G89" si="10">E86*F86</f>
        <v>92490.61</v>
      </c>
      <c r="H86" s="209" t="s">
        <v>529</v>
      </c>
    </row>
    <row r="87" spans="1:10" s="209" customFormat="1" ht="24">
      <c r="A87" s="177" t="s">
        <v>156</v>
      </c>
      <c r="B87" s="191" t="s">
        <v>157</v>
      </c>
      <c r="C87" s="178" t="s">
        <v>158</v>
      </c>
      <c r="D87" s="192" t="s">
        <v>18</v>
      </c>
      <c r="E87" s="213">
        <f>E89*0.7</f>
        <v>513.79999999999995</v>
      </c>
      <c r="F87" s="181">
        <v>123.58</v>
      </c>
      <c r="G87" s="114">
        <f t="shared" si="10"/>
        <v>63495.4</v>
      </c>
      <c r="H87" s="209" t="s">
        <v>529</v>
      </c>
    </row>
    <row r="88" spans="1:10" s="209" customFormat="1" ht="24">
      <c r="A88" s="177" t="s">
        <v>159</v>
      </c>
      <c r="B88" s="191" t="s">
        <v>160</v>
      </c>
      <c r="C88" s="178" t="s">
        <v>161</v>
      </c>
      <c r="D88" s="192" t="s">
        <v>18</v>
      </c>
      <c r="E88" s="213">
        <f>E87</f>
        <v>513.79999999999995</v>
      </c>
      <c r="F88" s="181">
        <v>123.58</v>
      </c>
      <c r="G88" s="114">
        <f t="shared" si="10"/>
        <v>63495.4</v>
      </c>
      <c r="H88" s="209" t="s">
        <v>529</v>
      </c>
    </row>
    <row r="89" spans="1:10" s="209" customFormat="1" ht="48">
      <c r="A89" s="177" t="s">
        <v>162</v>
      </c>
      <c r="B89" s="191" t="s">
        <v>163</v>
      </c>
      <c r="C89" s="178" t="s">
        <v>164</v>
      </c>
      <c r="D89" s="192" t="s">
        <v>18</v>
      </c>
      <c r="E89" s="111">
        <f>59*6+38*10</f>
        <v>734</v>
      </c>
      <c r="F89" s="181">
        <v>138.61000000000001</v>
      </c>
      <c r="G89" s="114">
        <f t="shared" si="10"/>
        <v>101739.74</v>
      </c>
      <c r="H89" s="209" t="s">
        <v>529</v>
      </c>
    </row>
    <row r="90" spans="1:10" s="176" customFormat="1">
      <c r="A90" s="169"/>
      <c r="B90" s="170"/>
      <c r="C90" s="171" t="s">
        <v>528</v>
      </c>
      <c r="D90" s="232"/>
      <c r="E90" s="173"/>
      <c r="F90" s="174"/>
      <c r="G90" s="175">
        <f>SUM(G86:G89)</f>
        <v>321221.15000000002</v>
      </c>
    </row>
    <row r="91" spans="1:10" s="209" customFormat="1" ht="24">
      <c r="A91" s="177" t="s">
        <v>162</v>
      </c>
      <c r="B91" s="191" t="s">
        <v>154</v>
      </c>
      <c r="C91" s="178" t="s">
        <v>155</v>
      </c>
      <c r="D91" s="192" t="s">
        <v>18</v>
      </c>
      <c r="E91" s="213">
        <f>E94*0.3</f>
        <v>140.4</v>
      </c>
      <c r="F91" s="181">
        <v>420.03</v>
      </c>
      <c r="G91" s="114">
        <f t="shared" ref="G91:G94" si="11">E91*F91</f>
        <v>58972.21</v>
      </c>
      <c r="H91" s="209" t="s">
        <v>567</v>
      </c>
    </row>
    <row r="92" spans="1:10" s="209" customFormat="1" ht="24">
      <c r="A92" s="177" t="s">
        <v>173</v>
      </c>
      <c r="B92" s="191" t="s">
        <v>157</v>
      </c>
      <c r="C92" s="178" t="s">
        <v>158</v>
      </c>
      <c r="D92" s="192" t="s">
        <v>18</v>
      </c>
      <c r="E92" s="213">
        <f>E94*0.7</f>
        <v>327.60000000000002</v>
      </c>
      <c r="F92" s="181">
        <v>123.58</v>
      </c>
      <c r="G92" s="114">
        <f t="shared" si="11"/>
        <v>40484.81</v>
      </c>
      <c r="H92" s="209" t="s">
        <v>567</v>
      </c>
    </row>
    <row r="93" spans="1:10" s="209" customFormat="1" ht="24">
      <c r="A93" s="177" t="s">
        <v>177</v>
      </c>
      <c r="B93" s="191" t="s">
        <v>160</v>
      </c>
      <c r="C93" s="178" t="s">
        <v>161</v>
      </c>
      <c r="D93" s="192" t="s">
        <v>18</v>
      </c>
      <c r="E93" s="213">
        <f>E92</f>
        <v>327.60000000000002</v>
      </c>
      <c r="F93" s="181">
        <v>123.58</v>
      </c>
      <c r="G93" s="114">
        <f t="shared" si="11"/>
        <v>40484.81</v>
      </c>
      <c r="H93" s="209" t="s">
        <v>567</v>
      </c>
    </row>
    <row r="94" spans="1:10" s="209" customFormat="1" ht="48">
      <c r="A94" s="177" t="s">
        <v>181</v>
      </c>
      <c r="B94" s="191" t="s">
        <v>163</v>
      </c>
      <c r="C94" s="178" t="s">
        <v>164</v>
      </c>
      <c r="D94" s="192" t="s">
        <v>18</v>
      </c>
      <c r="E94" s="111">
        <f>55*6+23*6</f>
        <v>468</v>
      </c>
      <c r="F94" s="181">
        <v>138.61000000000001</v>
      </c>
      <c r="G94" s="114">
        <f t="shared" si="11"/>
        <v>64869.48</v>
      </c>
      <c r="H94" s="209" t="s">
        <v>567</v>
      </c>
    </row>
    <row r="95" spans="1:10" s="176" customFormat="1">
      <c r="A95" s="169"/>
      <c r="B95" s="170"/>
      <c r="C95" s="171" t="s">
        <v>568</v>
      </c>
      <c r="D95" s="232"/>
      <c r="E95" s="173"/>
      <c r="F95" s="174"/>
      <c r="G95" s="175">
        <f>SUM(G91:G94)</f>
        <v>204811.31</v>
      </c>
    </row>
    <row r="96" spans="1:10" s="32" customFormat="1">
      <c r="A96" s="25"/>
      <c r="B96" s="26"/>
      <c r="C96" s="27" t="s">
        <v>503</v>
      </c>
      <c r="D96" s="28"/>
      <c r="E96" s="29"/>
      <c r="F96" s="30"/>
      <c r="G96" s="31">
        <f>G85+G90+G95</f>
        <v>613558.66</v>
      </c>
    </row>
  </sheetData>
  <mergeCells count="23">
    <mergeCell ref="A6:C6"/>
    <mergeCell ref="E6:G6"/>
    <mergeCell ref="D1:G1"/>
    <mergeCell ref="D2:G2"/>
    <mergeCell ref="D3:G3"/>
    <mergeCell ref="C4:D5"/>
    <mergeCell ref="E5:G5"/>
    <mergeCell ref="A7:C7"/>
    <mergeCell ref="E7:G7"/>
    <mergeCell ref="A8:C8"/>
    <mergeCell ref="E8:G8"/>
    <mergeCell ref="A9:C9"/>
    <mergeCell ref="E9:G9"/>
    <mergeCell ref="D15:D16"/>
    <mergeCell ref="E15:E16"/>
    <mergeCell ref="F15:G15"/>
    <mergeCell ref="B19:E19"/>
    <mergeCell ref="C10:D10"/>
    <mergeCell ref="E10:G10"/>
    <mergeCell ref="E11:G11"/>
    <mergeCell ref="E12:G12"/>
    <mergeCell ref="C13:D13"/>
    <mergeCell ref="E13:G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opLeftCell="A12" workbookViewId="0">
      <selection activeCell="A22" sqref="A22:XFD37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7109375" style="1" customWidth="1"/>
    <col min="8" max="8" width="9.140625" style="1"/>
    <col min="9" max="9" width="12.7109375" style="1" customWidth="1"/>
    <col min="10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41"/>
      <c r="F4" s="142" t="s">
        <v>29</v>
      </c>
      <c r="G4" s="143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40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40" t="s">
        <v>32</v>
      </c>
      <c r="E7" s="418"/>
      <c r="F7" s="418"/>
      <c r="G7" s="418"/>
    </row>
    <row r="8" spans="1:7" customFormat="1" ht="15">
      <c r="A8" s="408" t="s">
        <v>168</v>
      </c>
      <c r="B8" s="408"/>
      <c r="C8" s="408"/>
      <c r="D8" s="140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44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44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45"/>
      <c r="G14" s="145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8" customFormat="1" ht="15">
      <c r="A17" s="34"/>
      <c r="B17" s="34"/>
      <c r="C17" s="44"/>
      <c r="D17" s="45" t="s">
        <v>45</v>
      </c>
      <c r="E17" s="52" t="s">
        <v>169</v>
      </c>
      <c r="F17" s="52" t="s">
        <v>170</v>
      </c>
      <c r="G17" s="52" t="s">
        <v>171</v>
      </c>
    </row>
    <row r="18" spans="1:8" customFormat="1" ht="15">
      <c r="A18" s="47"/>
      <c r="B18" s="48"/>
      <c r="C18" s="146" t="s">
        <v>46</v>
      </c>
      <c r="D18" s="49"/>
      <c r="E18" s="47"/>
      <c r="F18" s="50"/>
      <c r="G18" s="51"/>
    </row>
    <row r="19" spans="1:8" customFormat="1" ht="15">
      <c r="A19" s="47"/>
      <c r="B19" s="426" t="s">
        <v>172</v>
      </c>
      <c r="C19" s="426"/>
      <c r="D19" s="426"/>
      <c r="E19" s="426"/>
      <c r="F19" s="50"/>
      <c r="G19" s="51"/>
    </row>
    <row r="20" spans="1:8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8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8" s="24" customFormat="1" ht="24">
      <c r="A22" s="18"/>
      <c r="B22" s="19"/>
      <c r="C22" s="147" t="s">
        <v>309</v>
      </c>
      <c r="D22" s="20"/>
      <c r="E22" s="21"/>
      <c r="F22" s="22"/>
      <c r="G22" s="23"/>
    </row>
    <row r="23" spans="1:8" ht="45.6" customHeight="1">
      <c r="A23" s="8" t="s">
        <v>173</v>
      </c>
      <c r="B23" s="126" t="s">
        <v>174</v>
      </c>
      <c r="C23" s="9" t="s">
        <v>175</v>
      </c>
      <c r="D23" s="13" t="s">
        <v>176</v>
      </c>
      <c r="E23" s="13">
        <f>15*0.2</f>
        <v>3</v>
      </c>
      <c r="F23" s="14">
        <v>1888.63</v>
      </c>
      <c r="G23" s="16">
        <f t="shared" ref="G23:G27" si="0">E23*F23</f>
        <v>5665.89</v>
      </c>
      <c r="H23" s="1" t="s">
        <v>165</v>
      </c>
    </row>
    <row r="24" spans="1:8" ht="50.45" customHeight="1">
      <c r="A24" s="8" t="s">
        <v>177</v>
      </c>
      <c r="B24" s="126" t="s">
        <v>178</v>
      </c>
      <c r="C24" s="9" t="s">
        <v>179</v>
      </c>
      <c r="D24" s="13" t="s">
        <v>180</v>
      </c>
      <c r="E24" s="13">
        <v>15</v>
      </c>
      <c r="F24" s="14">
        <v>147.35</v>
      </c>
      <c r="G24" s="16">
        <f t="shared" si="0"/>
        <v>2210.25</v>
      </c>
      <c r="H24" s="1" t="s">
        <v>165</v>
      </c>
    </row>
    <row r="25" spans="1:8" ht="45.6" customHeight="1">
      <c r="A25" s="8" t="s">
        <v>181</v>
      </c>
      <c r="B25" s="126" t="s">
        <v>182</v>
      </c>
      <c r="C25" s="9" t="s">
        <v>183</v>
      </c>
      <c r="D25" s="13" t="s">
        <v>184</v>
      </c>
      <c r="E25" s="13">
        <f>15*2/1000</f>
        <v>0.03</v>
      </c>
      <c r="F25" s="14">
        <v>33929.550000000003</v>
      </c>
      <c r="G25" s="16">
        <f t="shared" si="0"/>
        <v>1017.89</v>
      </c>
      <c r="H25" s="1" t="s">
        <v>165</v>
      </c>
    </row>
    <row r="26" spans="1:8" ht="43.15" customHeight="1">
      <c r="A26" s="8" t="s">
        <v>185</v>
      </c>
      <c r="B26" s="126" t="s">
        <v>186</v>
      </c>
      <c r="C26" s="9" t="s">
        <v>187</v>
      </c>
      <c r="D26" s="13" t="s">
        <v>18</v>
      </c>
      <c r="E26" s="13">
        <v>6</v>
      </c>
      <c r="F26" s="14">
        <v>365.23</v>
      </c>
      <c r="G26" s="16">
        <f t="shared" si="0"/>
        <v>2191.38</v>
      </c>
      <c r="H26" s="1" t="s">
        <v>165</v>
      </c>
    </row>
    <row r="27" spans="1:8" ht="42.6" customHeight="1">
      <c r="A27" s="8" t="s">
        <v>188</v>
      </c>
      <c r="B27" s="126" t="s">
        <v>189</v>
      </c>
      <c r="C27" s="9" t="s">
        <v>164</v>
      </c>
      <c r="D27" s="13" t="s">
        <v>18</v>
      </c>
      <c r="E27" s="13">
        <v>6</v>
      </c>
      <c r="F27" s="14">
        <v>120.56</v>
      </c>
      <c r="G27" s="16">
        <f t="shared" si="0"/>
        <v>723.36</v>
      </c>
      <c r="H27" s="1" t="s">
        <v>165</v>
      </c>
    </row>
    <row r="28" spans="1:8" s="117" customFormat="1">
      <c r="A28" s="118"/>
      <c r="B28" s="119"/>
      <c r="C28" s="120" t="s">
        <v>167</v>
      </c>
      <c r="D28" s="121"/>
      <c r="E28" s="122"/>
      <c r="F28" s="123"/>
      <c r="G28" s="124">
        <f>SUM(G23:G27)</f>
        <v>11808.77</v>
      </c>
    </row>
    <row r="29" spans="1:8" s="115" customFormat="1" ht="36">
      <c r="A29" s="267" t="s">
        <v>622</v>
      </c>
      <c r="B29" s="268" t="s">
        <v>174</v>
      </c>
      <c r="C29" s="233" t="s">
        <v>175</v>
      </c>
      <c r="D29" s="111" t="s">
        <v>176</v>
      </c>
      <c r="E29" s="111">
        <f>452*0.5*0.15</f>
        <v>33.9</v>
      </c>
      <c r="F29" s="113">
        <v>1888.63</v>
      </c>
      <c r="G29" s="114">
        <f t="shared" ref="G29:G35" si="1">E29*F29</f>
        <v>64024.56</v>
      </c>
      <c r="H29" s="115" t="s">
        <v>567</v>
      </c>
    </row>
    <row r="30" spans="1:8" s="115" customFormat="1" ht="50.45" customHeight="1">
      <c r="A30" s="108" t="s">
        <v>623</v>
      </c>
      <c r="B30" s="191" t="s">
        <v>178</v>
      </c>
      <c r="C30" s="110" t="s">
        <v>179</v>
      </c>
      <c r="D30" s="111" t="s">
        <v>180</v>
      </c>
      <c r="E30" s="111">
        <v>394.4</v>
      </c>
      <c r="F30" s="113">
        <v>147.35</v>
      </c>
      <c r="G30" s="114">
        <f t="shared" si="1"/>
        <v>58114.84</v>
      </c>
      <c r="H30" s="115" t="s">
        <v>567</v>
      </c>
    </row>
    <row r="31" spans="1:8" s="115" customFormat="1" ht="30.6" customHeight="1">
      <c r="A31" s="267" t="s">
        <v>624</v>
      </c>
      <c r="B31" s="191" t="s">
        <v>625</v>
      </c>
      <c r="C31" s="110" t="s">
        <v>626</v>
      </c>
      <c r="D31" s="111" t="s">
        <v>195</v>
      </c>
      <c r="E31" s="167">
        <f>446.4*0.3*0.2/100</f>
        <v>0.26800000000000002</v>
      </c>
      <c r="F31" s="113">
        <v>44657.34</v>
      </c>
      <c r="G31" s="114">
        <f t="shared" si="1"/>
        <v>11968.17</v>
      </c>
      <c r="H31" s="115" t="s">
        <v>567</v>
      </c>
    </row>
    <row r="32" spans="1:8" s="115" customFormat="1" ht="18.600000000000001" customHeight="1">
      <c r="A32" s="108" t="s">
        <v>627</v>
      </c>
      <c r="B32" s="191" t="s">
        <v>182</v>
      </c>
      <c r="C32" s="110" t="s">
        <v>183</v>
      </c>
      <c r="D32" s="111" t="s">
        <v>4</v>
      </c>
      <c r="E32" s="167">
        <f>446.4*0.3/1000</f>
        <v>0.13400000000000001</v>
      </c>
      <c r="F32" s="113">
        <v>33929.550000000003</v>
      </c>
      <c r="G32" s="114">
        <f t="shared" si="1"/>
        <v>4546.5600000000004</v>
      </c>
      <c r="H32" s="115" t="s">
        <v>567</v>
      </c>
    </row>
    <row r="33" spans="1:8" s="115" customFormat="1" ht="27.6" customHeight="1">
      <c r="A33" s="267" t="s">
        <v>628</v>
      </c>
      <c r="B33" s="191" t="s">
        <v>629</v>
      </c>
      <c r="C33" s="269" t="s">
        <v>630</v>
      </c>
      <c r="D33" s="270" t="s">
        <v>195</v>
      </c>
      <c r="E33" s="270">
        <f>4*3.5/100</f>
        <v>0.14000000000000001</v>
      </c>
      <c r="F33" s="113">
        <v>53588.25</v>
      </c>
      <c r="G33" s="114">
        <f t="shared" si="1"/>
        <v>7502.36</v>
      </c>
      <c r="H33" s="115" t="s">
        <v>567</v>
      </c>
    </row>
    <row r="34" spans="1:8" s="115" customFormat="1" ht="22.9" customHeight="1">
      <c r="A34" s="108" t="s">
        <v>631</v>
      </c>
      <c r="B34" s="191" t="s">
        <v>186</v>
      </c>
      <c r="C34" s="110" t="s">
        <v>187</v>
      </c>
      <c r="D34" s="111" t="s">
        <v>18</v>
      </c>
      <c r="E34" s="111">
        <f>33.9*2+14*2</f>
        <v>95.8</v>
      </c>
      <c r="F34" s="113">
        <v>365.23</v>
      </c>
      <c r="G34" s="114">
        <f t="shared" si="1"/>
        <v>34989.03</v>
      </c>
      <c r="H34" s="115" t="s">
        <v>567</v>
      </c>
    </row>
    <row r="35" spans="1:8" s="115" customFormat="1" ht="36" customHeight="1">
      <c r="A35" s="267" t="s">
        <v>632</v>
      </c>
      <c r="B35" s="191" t="s">
        <v>189</v>
      </c>
      <c r="C35" s="110" t="s">
        <v>164</v>
      </c>
      <c r="D35" s="111" t="s">
        <v>18</v>
      </c>
      <c r="E35" s="111">
        <f>E34</f>
        <v>95.8</v>
      </c>
      <c r="F35" s="113">
        <v>120.56</v>
      </c>
      <c r="G35" s="114">
        <f t="shared" si="1"/>
        <v>11549.65</v>
      </c>
      <c r="H35" s="115" t="s">
        <v>567</v>
      </c>
    </row>
    <row r="36" spans="1:8" s="176" customFormat="1">
      <c r="A36" s="169"/>
      <c r="B36" s="170"/>
      <c r="C36" s="171" t="s">
        <v>568</v>
      </c>
      <c r="D36" s="172"/>
      <c r="E36" s="173"/>
      <c r="F36" s="174"/>
      <c r="G36" s="175">
        <f>SUM(G29:G35)</f>
        <v>192695.17</v>
      </c>
    </row>
    <row r="37" spans="1:8" s="32" customFormat="1">
      <c r="A37" s="25"/>
      <c r="B37" s="26"/>
      <c r="C37" s="27" t="s">
        <v>308</v>
      </c>
      <c r="D37" s="28"/>
      <c r="E37" s="29"/>
      <c r="F37" s="30"/>
      <c r="G37" s="31">
        <f>G28+G36</f>
        <v>204503.94</v>
      </c>
    </row>
    <row r="38" spans="1:8" s="32" customFormat="1">
      <c r="A38" s="101"/>
      <c r="B38" s="102"/>
      <c r="C38" s="103"/>
      <c r="D38" s="104"/>
      <c r="E38" s="105"/>
      <c r="F38" s="106"/>
      <c r="G38" s="107"/>
    </row>
    <row r="39" spans="1:8" s="32" customFormat="1">
      <c r="A39" s="101"/>
      <c r="B39" s="102"/>
      <c r="C39" s="103"/>
      <c r="D39" s="104"/>
      <c r="E39" s="105"/>
      <c r="F39" s="106"/>
      <c r="G39" s="107"/>
    </row>
  </sheetData>
  <mergeCells count="23">
    <mergeCell ref="D15:D16"/>
    <mergeCell ref="E15:E16"/>
    <mergeCell ref="F15:G15"/>
    <mergeCell ref="B19:E19"/>
    <mergeCell ref="C10:D10"/>
    <mergeCell ref="E10:G10"/>
    <mergeCell ref="E11:G11"/>
    <mergeCell ref="E12:G12"/>
    <mergeCell ref="C13:D13"/>
    <mergeCell ref="E13:G13"/>
    <mergeCell ref="A7:C7"/>
    <mergeCell ref="E7:G7"/>
    <mergeCell ref="A8:C8"/>
    <mergeCell ref="E8:G8"/>
    <mergeCell ref="A9:C9"/>
    <mergeCell ref="E9:G9"/>
    <mergeCell ref="A6:C6"/>
    <mergeCell ref="E6:G6"/>
    <mergeCell ref="D1:G1"/>
    <mergeCell ref="D2:G2"/>
    <mergeCell ref="D3:G3"/>
    <mergeCell ref="C4:D5"/>
    <mergeCell ref="E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topLeftCell="A39" workbookViewId="0">
      <selection activeCell="E52" sqref="E52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140625" style="1" customWidth="1"/>
    <col min="8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33"/>
      <c r="F4" s="134" t="s">
        <v>29</v>
      </c>
      <c r="G4" s="135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39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39" t="s">
        <v>32</v>
      </c>
      <c r="E7" s="418"/>
      <c r="F7" s="418"/>
      <c r="G7" s="418"/>
    </row>
    <row r="8" spans="1:7" customFormat="1" ht="15">
      <c r="A8" s="408" t="s">
        <v>136</v>
      </c>
      <c r="B8" s="408"/>
      <c r="C8" s="408"/>
      <c r="D8" s="139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38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38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36"/>
      <c r="G14" s="136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10" customFormat="1" ht="15">
      <c r="A17" s="34"/>
      <c r="B17" s="34"/>
      <c r="C17" s="44"/>
      <c r="D17" s="45" t="s">
        <v>45</v>
      </c>
      <c r="E17" s="52" t="s">
        <v>114</v>
      </c>
      <c r="F17" s="52" t="s">
        <v>48</v>
      </c>
      <c r="G17" s="52" t="s">
        <v>49</v>
      </c>
    </row>
    <row r="18" spans="1:10" customFormat="1" ht="15">
      <c r="A18" s="47"/>
      <c r="B18" s="48"/>
      <c r="C18" s="137" t="s">
        <v>46</v>
      </c>
      <c r="D18" s="49"/>
      <c r="E18" s="47"/>
      <c r="F18" s="50"/>
      <c r="G18" s="51"/>
    </row>
    <row r="19" spans="1:10" customFormat="1" ht="15">
      <c r="A19" s="47"/>
      <c r="B19" s="426" t="s">
        <v>50</v>
      </c>
      <c r="C19" s="426"/>
      <c r="D19" s="426"/>
      <c r="E19" s="426"/>
      <c r="F19" s="50"/>
      <c r="G19" s="51"/>
    </row>
    <row r="20" spans="1:10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10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10" s="24" customFormat="1" ht="48">
      <c r="A22" s="18"/>
      <c r="B22" s="19"/>
      <c r="C22" s="147" t="s">
        <v>139</v>
      </c>
      <c r="D22" s="20"/>
      <c r="E22" s="21"/>
      <c r="F22" s="22"/>
      <c r="G22" s="23"/>
    </row>
    <row r="23" spans="1:10" s="33" customFormat="1" ht="24">
      <c r="A23" s="132">
        <v>17</v>
      </c>
      <c r="B23" s="9" t="s">
        <v>124</v>
      </c>
      <c r="C23" s="9" t="s">
        <v>125</v>
      </c>
      <c r="D23" s="13" t="s">
        <v>14</v>
      </c>
      <c r="E23" s="13">
        <v>6</v>
      </c>
      <c r="F23" s="15">
        <v>875.16</v>
      </c>
      <c r="G23" s="16">
        <f t="shared" ref="G23:G25" si="0">E23*F23</f>
        <v>5250.96</v>
      </c>
      <c r="H23" s="1" t="s">
        <v>140</v>
      </c>
      <c r="I23" s="100"/>
      <c r="J23" s="100"/>
    </row>
    <row r="24" spans="1:10" s="33" customFormat="1" ht="36">
      <c r="A24" s="132">
        <v>18</v>
      </c>
      <c r="B24" s="9" t="s">
        <v>126</v>
      </c>
      <c r="C24" s="9" t="s">
        <v>127</v>
      </c>
      <c r="D24" s="13" t="s">
        <v>18</v>
      </c>
      <c r="E24" s="13">
        <f>600*0.9*0.6</f>
        <v>324</v>
      </c>
      <c r="F24" s="15">
        <v>148.94</v>
      </c>
      <c r="G24" s="16">
        <f t="shared" si="0"/>
        <v>48256.56</v>
      </c>
      <c r="H24" s="1" t="s">
        <v>140</v>
      </c>
      <c r="I24" s="100"/>
      <c r="J24" s="100"/>
    </row>
    <row r="25" spans="1:10" s="33" customFormat="1" ht="48">
      <c r="A25" s="132">
        <v>19</v>
      </c>
      <c r="B25" s="9" t="s">
        <v>128</v>
      </c>
      <c r="C25" s="9" t="s">
        <v>129</v>
      </c>
      <c r="D25" s="13" t="s">
        <v>18</v>
      </c>
      <c r="E25" s="13">
        <f>600*0.9*0.6</f>
        <v>324</v>
      </c>
      <c r="F25" s="15">
        <v>118.86</v>
      </c>
      <c r="G25" s="16">
        <f t="shared" si="0"/>
        <v>38510.639999999999</v>
      </c>
      <c r="H25" s="1" t="s">
        <v>140</v>
      </c>
      <c r="I25" s="100"/>
      <c r="J25" s="100"/>
    </row>
    <row r="26" spans="1:10" s="117" customFormat="1">
      <c r="A26" s="118"/>
      <c r="B26" s="119"/>
      <c r="C26" s="120" t="s">
        <v>166</v>
      </c>
      <c r="D26" s="121"/>
      <c r="E26" s="122"/>
      <c r="F26" s="123"/>
      <c r="G26" s="124">
        <f>SUM(G23:G25)</f>
        <v>92018.16</v>
      </c>
    </row>
    <row r="27" spans="1:10" s="33" customFormat="1" ht="24">
      <c r="A27" s="132">
        <v>14</v>
      </c>
      <c r="B27" s="9" t="s">
        <v>124</v>
      </c>
      <c r="C27" s="9" t="s">
        <v>125</v>
      </c>
      <c r="D27" s="13" t="s">
        <v>14</v>
      </c>
      <c r="E27" s="13">
        <v>14.3</v>
      </c>
      <c r="F27" s="15">
        <v>875.16</v>
      </c>
      <c r="G27" s="16">
        <f t="shared" ref="G27:G34" si="1">E27*F27</f>
        <v>12514.79</v>
      </c>
      <c r="H27" s="100" t="s">
        <v>165</v>
      </c>
      <c r="I27" s="100"/>
      <c r="J27" s="100"/>
    </row>
    <row r="28" spans="1:10" s="33" customFormat="1" ht="24">
      <c r="A28" s="132">
        <v>15</v>
      </c>
      <c r="B28" s="9" t="s">
        <v>190</v>
      </c>
      <c r="C28" s="9" t="s">
        <v>191</v>
      </c>
      <c r="D28" s="13" t="s">
        <v>192</v>
      </c>
      <c r="E28" s="13">
        <f>858*50%</f>
        <v>429</v>
      </c>
      <c r="F28" s="15">
        <v>273.45999999999998</v>
      </c>
      <c r="G28" s="16">
        <f t="shared" si="1"/>
        <v>117314.34</v>
      </c>
      <c r="H28" s="100" t="s">
        <v>165</v>
      </c>
      <c r="I28" s="100"/>
      <c r="J28" s="100"/>
    </row>
    <row r="29" spans="1:10" s="33" customFormat="1" ht="24">
      <c r="A29" s="132">
        <v>16</v>
      </c>
      <c r="B29" s="9" t="s">
        <v>193</v>
      </c>
      <c r="C29" s="9" t="s">
        <v>194</v>
      </c>
      <c r="D29" s="13" t="s">
        <v>195</v>
      </c>
      <c r="E29" s="13">
        <f>858*20%/100</f>
        <v>1.716</v>
      </c>
      <c r="F29" s="15">
        <v>54082.23</v>
      </c>
      <c r="G29" s="16">
        <f t="shared" si="1"/>
        <v>92805.11</v>
      </c>
      <c r="H29" s="100" t="s">
        <v>165</v>
      </c>
      <c r="I29" s="100"/>
      <c r="J29" s="100"/>
    </row>
    <row r="30" spans="1:10" s="33" customFormat="1" ht="36">
      <c r="A30" s="132">
        <v>17</v>
      </c>
      <c r="B30" s="9" t="s">
        <v>196</v>
      </c>
      <c r="C30" s="9" t="s">
        <v>197</v>
      </c>
      <c r="D30" s="13" t="s">
        <v>18</v>
      </c>
      <c r="E30" s="13">
        <v>429</v>
      </c>
      <c r="F30" s="15">
        <v>166.56</v>
      </c>
      <c r="G30" s="16">
        <f t="shared" si="1"/>
        <v>71454.240000000005</v>
      </c>
      <c r="H30" s="100" t="s">
        <v>165</v>
      </c>
      <c r="I30" s="100"/>
      <c r="J30" s="100"/>
    </row>
    <row r="31" spans="1:10" s="33" customFormat="1" ht="36">
      <c r="A31" s="132">
        <v>18</v>
      </c>
      <c r="B31" s="9" t="s">
        <v>126</v>
      </c>
      <c r="C31" s="9" t="s">
        <v>127</v>
      </c>
      <c r="D31" s="13" t="s">
        <v>18</v>
      </c>
      <c r="E31" s="13">
        <f>858*30%</f>
        <v>257.39999999999998</v>
      </c>
      <c r="F31" s="15">
        <v>148.94</v>
      </c>
      <c r="G31" s="16">
        <f t="shared" si="1"/>
        <v>38337.160000000003</v>
      </c>
      <c r="H31" s="100" t="s">
        <v>165</v>
      </c>
      <c r="I31" s="100"/>
      <c r="J31" s="100"/>
    </row>
    <row r="32" spans="1:10" s="33" customFormat="1" ht="36">
      <c r="A32" s="132">
        <v>19</v>
      </c>
      <c r="B32" s="9" t="s">
        <v>198</v>
      </c>
      <c r="C32" s="9" t="s">
        <v>199</v>
      </c>
      <c r="D32" s="13" t="s">
        <v>18</v>
      </c>
      <c r="E32" s="13">
        <v>429</v>
      </c>
      <c r="F32" s="15">
        <v>166.56</v>
      </c>
      <c r="G32" s="16">
        <f t="shared" si="1"/>
        <v>71454.240000000005</v>
      </c>
      <c r="H32" s="100" t="s">
        <v>165</v>
      </c>
      <c r="I32" s="100"/>
      <c r="J32" s="100"/>
    </row>
    <row r="33" spans="1:10" s="33" customFormat="1" ht="48">
      <c r="A33" s="132">
        <v>20</v>
      </c>
      <c r="B33" s="9" t="s">
        <v>128</v>
      </c>
      <c r="C33" s="9" t="s">
        <v>129</v>
      </c>
      <c r="D33" s="13" t="s">
        <v>18</v>
      </c>
      <c r="E33" s="13">
        <v>257.39999999999998</v>
      </c>
      <c r="F33" s="15">
        <v>118.86</v>
      </c>
      <c r="G33" s="16">
        <f t="shared" si="1"/>
        <v>30594.560000000001</v>
      </c>
      <c r="H33" s="100" t="s">
        <v>165</v>
      </c>
      <c r="I33" s="100"/>
      <c r="J33" s="100"/>
    </row>
    <row r="34" spans="1:10" s="33" customFormat="1" ht="36">
      <c r="A34" s="132">
        <v>21</v>
      </c>
      <c r="B34" s="9" t="s">
        <v>200</v>
      </c>
      <c r="C34" s="9" t="s">
        <v>201</v>
      </c>
      <c r="D34" s="13" t="s">
        <v>18</v>
      </c>
      <c r="E34" s="13">
        <v>858</v>
      </c>
      <c r="F34" s="15">
        <v>100.98</v>
      </c>
      <c r="G34" s="16">
        <f t="shared" si="1"/>
        <v>86640.84</v>
      </c>
      <c r="H34" s="100" t="s">
        <v>165</v>
      </c>
      <c r="I34" s="100"/>
      <c r="J34" s="100"/>
    </row>
    <row r="35" spans="1:10" s="117" customFormat="1">
      <c r="A35" s="118"/>
      <c r="B35" s="119"/>
      <c r="C35" s="120" t="s">
        <v>167</v>
      </c>
      <c r="D35" s="121"/>
      <c r="E35" s="122"/>
      <c r="F35" s="123"/>
      <c r="G35" s="124">
        <f>SUM(G27:G34)</f>
        <v>521115.28</v>
      </c>
    </row>
    <row r="36" spans="1:10" s="33" customFormat="1" ht="24">
      <c r="A36" s="132">
        <v>14</v>
      </c>
      <c r="B36" s="9" t="s">
        <v>124</v>
      </c>
      <c r="C36" s="9" t="s">
        <v>125</v>
      </c>
      <c r="D36" s="13" t="s">
        <v>14</v>
      </c>
      <c r="E36" s="13">
        <f>900/100</f>
        <v>9</v>
      </c>
      <c r="F36" s="15">
        <v>875.16</v>
      </c>
      <c r="G36" s="16">
        <f t="shared" ref="G36:G43" si="2">E36*F36</f>
        <v>7876.44</v>
      </c>
      <c r="H36" s="33" t="s">
        <v>313</v>
      </c>
    </row>
    <row r="37" spans="1:10" s="33" customFormat="1" ht="24">
      <c r="A37" s="132">
        <v>15</v>
      </c>
      <c r="B37" s="9" t="s">
        <v>190</v>
      </c>
      <c r="C37" s="9" t="s">
        <v>191</v>
      </c>
      <c r="D37" s="13" t="s">
        <v>192</v>
      </c>
      <c r="E37" s="13">
        <v>270</v>
      </c>
      <c r="F37" s="15">
        <v>273.45999999999998</v>
      </c>
      <c r="G37" s="16">
        <f t="shared" si="2"/>
        <v>73834.2</v>
      </c>
      <c r="H37" s="33" t="s">
        <v>313</v>
      </c>
    </row>
    <row r="38" spans="1:10" s="33" customFormat="1" ht="24">
      <c r="A38" s="132">
        <v>16</v>
      </c>
      <c r="B38" s="9" t="s">
        <v>193</v>
      </c>
      <c r="C38" s="9" t="s">
        <v>194</v>
      </c>
      <c r="D38" s="13" t="s">
        <v>195</v>
      </c>
      <c r="E38" s="13">
        <f>540*20%/100</f>
        <v>1.08</v>
      </c>
      <c r="F38" s="15">
        <v>54082.23</v>
      </c>
      <c r="G38" s="16">
        <f t="shared" si="2"/>
        <v>58408.81</v>
      </c>
      <c r="H38" s="33" t="s">
        <v>313</v>
      </c>
    </row>
    <row r="39" spans="1:10" s="33" customFormat="1" ht="36">
      <c r="A39" s="132">
        <v>17</v>
      </c>
      <c r="B39" s="9" t="s">
        <v>196</v>
      </c>
      <c r="C39" s="9" t="s">
        <v>197</v>
      </c>
      <c r="D39" s="13" t="s">
        <v>18</v>
      </c>
      <c r="E39" s="13">
        <f>540-108-162</f>
        <v>270</v>
      </c>
      <c r="F39" s="15">
        <v>166.56</v>
      </c>
      <c r="G39" s="16">
        <f t="shared" si="2"/>
        <v>44971.199999999997</v>
      </c>
      <c r="H39" s="33" t="s">
        <v>313</v>
      </c>
    </row>
    <row r="40" spans="1:10" s="33" customFormat="1" ht="36">
      <c r="A40" s="132">
        <v>18</v>
      </c>
      <c r="B40" s="9" t="s">
        <v>126</v>
      </c>
      <c r="C40" s="9" t="s">
        <v>127</v>
      </c>
      <c r="D40" s="13" t="s">
        <v>18</v>
      </c>
      <c r="E40" s="13">
        <f>540*30%</f>
        <v>162</v>
      </c>
      <c r="F40" s="15">
        <v>148.94</v>
      </c>
      <c r="G40" s="16">
        <f t="shared" si="2"/>
        <v>24128.28</v>
      </c>
      <c r="H40" s="33" t="s">
        <v>313</v>
      </c>
    </row>
    <row r="41" spans="1:10" s="33" customFormat="1" ht="36">
      <c r="A41" s="132">
        <v>19</v>
      </c>
      <c r="B41" s="9" t="s">
        <v>198</v>
      </c>
      <c r="C41" s="9" t="s">
        <v>199</v>
      </c>
      <c r="D41" s="13" t="s">
        <v>18</v>
      </c>
      <c r="E41" s="13">
        <v>270</v>
      </c>
      <c r="F41" s="15">
        <v>166.56</v>
      </c>
      <c r="G41" s="16">
        <f t="shared" si="2"/>
        <v>44971.199999999997</v>
      </c>
      <c r="H41" s="33" t="s">
        <v>313</v>
      </c>
    </row>
    <row r="42" spans="1:10" s="33" customFormat="1" ht="48">
      <c r="A42" s="132">
        <v>20</v>
      </c>
      <c r="B42" s="9" t="s">
        <v>128</v>
      </c>
      <c r="C42" s="9" t="s">
        <v>129</v>
      </c>
      <c r="D42" s="13" t="s">
        <v>18</v>
      </c>
      <c r="E42" s="13">
        <v>162</v>
      </c>
      <c r="F42" s="15">
        <v>118.86</v>
      </c>
      <c r="G42" s="16">
        <f t="shared" si="2"/>
        <v>19255.32</v>
      </c>
      <c r="H42" s="33" t="s">
        <v>313</v>
      </c>
    </row>
    <row r="43" spans="1:10" s="33" customFormat="1" ht="36">
      <c r="A43" s="132">
        <v>21</v>
      </c>
      <c r="B43" s="9" t="s">
        <v>200</v>
      </c>
      <c r="C43" s="9" t="s">
        <v>201</v>
      </c>
      <c r="D43" s="13" t="s">
        <v>18</v>
      </c>
      <c r="E43" s="13">
        <f>90*6</f>
        <v>540</v>
      </c>
      <c r="F43" s="15">
        <v>100.98</v>
      </c>
      <c r="G43" s="16">
        <f t="shared" si="2"/>
        <v>54529.2</v>
      </c>
      <c r="H43" s="33" t="s">
        <v>313</v>
      </c>
    </row>
    <row r="44" spans="1:10" s="117" customFormat="1">
      <c r="A44" s="118"/>
      <c r="B44" s="119"/>
      <c r="C44" s="120" t="s">
        <v>315</v>
      </c>
      <c r="D44" s="121"/>
      <c r="E44" s="122"/>
      <c r="F44" s="123"/>
      <c r="G44" s="124">
        <f>SUM(G36:G43)</f>
        <v>327974.65000000002</v>
      </c>
    </row>
    <row r="45" spans="1:10" s="33" customFormat="1" ht="24">
      <c r="A45" s="132">
        <v>14</v>
      </c>
      <c r="B45" s="9" t="s">
        <v>124</v>
      </c>
      <c r="C45" s="9" t="s">
        <v>125</v>
      </c>
      <c r="D45" s="13" t="s">
        <v>14</v>
      </c>
      <c r="E45" s="13">
        <f>1506/60</f>
        <v>25.1</v>
      </c>
      <c r="F45" s="15">
        <v>875.16</v>
      </c>
      <c r="G45" s="16">
        <f t="shared" ref="G45:G52" si="3">E45*F45</f>
        <v>21966.52</v>
      </c>
      <c r="H45" s="33" t="s">
        <v>371</v>
      </c>
    </row>
    <row r="46" spans="1:10" s="33" customFormat="1" ht="24">
      <c r="A46" s="132">
        <v>15</v>
      </c>
      <c r="B46" s="9" t="s">
        <v>190</v>
      </c>
      <c r="C46" s="9" t="s">
        <v>191</v>
      </c>
      <c r="D46" s="13" t="s">
        <v>192</v>
      </c>
      <c r="E46" s="13">
        <f>E48</f>
        <v>753</v>
      </c>
      <c r="F46" s="15">
        <v>273.45999999999998</v>
      </c>
      <c r="G46" s="16">
        <f t="shared" si="3"/>
        <v>205915.38</v>
      </c>
      <c r="H46" s="33" t="s">
        <v>371</v>
      </c>
    </row>
    <row r="47" spans="1:10" s="33" customFormat="1" ht="24">
      <c r="A47" s="132">
        <v>16</v>
      </c>
      <c r="B47" s="9" t="s">
        <v>193</v>
      </c>
      <c r="C47" s="9" t="s">
        <v>194</v>
      </c>
      <c r="D47" s="13" t="s">
        <v>195</v>
      </c>
      <c r="E47" s="13">
        <f>E52*20%/100</f>
        <v>3.012</v>
      </c>
      <c r="F47" s="15">
        <v>54082.23</v>
      </c>
      <c r="G47" s="16">
        <f t="shared" si="3"/>
        <v>162895.67999999999</v>
      </c>
      <c r="H47" s="33" t="s">
        <v>371</v>
      </c>
    </row>
    <row r="48" spans="1:10" s="33" customFormat="1" ht="36">
      <c r="A48" s="132">
        <v>17</v>
      </c>
      <c r="B48" s="9" t="s">
        <v>196</v>
      </c>
      <c r="C48" s="9" t="s">
        <v>197</v>
      </c>
      <c r="D48" s="13" t="s">
        <v>18</v>
      </c>
      <c r="E48" s="13">
        <f>E52-E49-E47*100</f>
        <v>753</v>
      </c>
      <c r="F48" s="15">
        <v>166.56</v>
      </c>
      <c r="G48" s="16">
        <f t="shared" si="3"/>
        <v>125419.68</v>
      </c>
      <c r="H48" s="33" t="s">
        <v>371</v>
      </c>
    </row>
    <row r="49" spans="1:8" s="33" customFormat="1" ht="36">
      <c r="A49" s="132">
        <v>18</v>
      </c>
      <c r="B49" s="9" t="s">
        <v>126</v>
      </c>
      <c r="C49" s="9" t="s">
        <v>127</v>
      </c>
      <c r="D49" s="13" t="s">
        <v>18</v>
      </c>
      <c r="E49" s="13">
        <f>E52*30%</f>
        <v>451.8</v>
      </c>
      <c r="F49" s="15">
        <v>148.94</v>
      </c>
      <c r="G49" s="16">
        <f t="shared" si="3"/>
        <v>67291.09</v>
      </c>
      <c r="H49" s="33" t="s">
        <v>371</v>
      </c>
    </row>
    <row r="50" spans="1:8" s="33" customFormat="1" ht="36">
      <c r="A50" s="132">
        <v>19</v>
      </c>
      <c r="B50" s="9" t="s">
        <v>198</v>
      </c>
      <c r="C50" s="9" t="s">
        <v>199</v>
      </c>
      <c r="D50" s="13" t="s">
        <v>18</v>
      </c>
      <c r="E50" s="13">
        <f>E48</f>
        <v>753</v>
      </c>
      <c r="F50" s="15">
        <v>166.56</v>
      </c>
      <c r="G50" s="16">
        <f t="shared" si="3"/>
        <v>125419.68</v>
      </c>
      <c r="H50" s="33" t="s">
        <v>371</v>
      </c>
    </row>
    <row r="51" spans="1:8" s="33" customFormat="1" ht="48">
      <c r="A51" s="132">
        <v>20</v>
      </c>
      <c r="B51" s="9" t="s">
        <v>128</v>
      </c>
      <c r="C51" s="9" t="s">
        <v>129</v>
      </c>
      <c r="D51" s="13" t="s">
        <v>18</v>
      </c>
      <c r="E51" s="13">
        <f>E47*100*1.5</f>
        <v>451.8</v>
      </c>
      <c r="F51" s="15">
        <v>118.86</v>
      </c>
      <c r="G51" s="16">
        <f t="shared" si="3"/>
        <v>53700.95</v>
      </c>
      <c r="H51" s="33" t="s">
        <v>371</v>
      </c>
    </row>
    <row r="52" spans="1:8" s="33" customFormat="1" ht="36">
      <c r="A52" s="132">
        <v>21</v>
      </c>
      <c r="B52" s="9" t="s">
        <v>200</v>
      </c>
      <c r="C52" s="9" t="s">
        <v>201</v>
      </c>
      <c r="D52" s="13" t="s">
        <v>18</v>
      </c>
      <c r="E52" s="13">
        <f>251*6</f>
        <v>1506</v>
      </c>
      <c r="F52" s="15">
        <v>100.98</v>
      </c>
      <c r="G52" s="16">
        <f t="shared" si="3"/>
        <v>152075.88</v>
      </c>
      <c r="H52" s="33" t="s">
        <v>371</v>
      </c>
    </row>
    <row r="53" spans="1:8" s="117" customFormat="1">
      <c r="A53" s="118"/>
      <c r="B53" s="119"/>
      <c r="C53" s="120" t="s">
        <v>372</v>
      </c>
      <c r="D53" s="121"/>
      <c r="E53" s="122"/>
      <c r="F53" s="123"/>
      <c r="G53" s="124">
        <f>SUM(G45:G52)</f>
        <v>914684.86</v>
      </c>
    </row>
    <row r="54" spans="1:8" s="168" customFormat="1" ht="24">
      <c r="A54" s="166">
        <v>1</v>
      </c>
      <c r="B54" s="110" t="s">
        <v>124</v>
      </c>
      <c r="C54" s="110" t="s">
        <v>125</v>
      </c>
      <c r="D54" s="111" t="s">
        <v>14</v>
      </c>
      <c r="E54" s="167">
        <f>1072/60</f>
        <v>17.867000000000001</v>
      </c>
      <c r="F54" s="112">
        <v>875.16</v>
      </c>
      <c r="G54" s="114">
        <f t="shared" ref="G54:G61" si="4">E54*F54</f>
        <v>15636.48</v>
      </c>
      <c r="H54" s="168" t="s">
        <v>400</v>
      </c>
    </row>
    <row r="55" spans="1:8" s="168" customFormat="1" ht="24">
      <c r="A55" s="166">
        <v>2</v>
      </c>
      <c r="B55" s="110" t="s">
        <v>190</v>
      </c>
      <c r="C55" s="110" t="s">
        <v>191</v>
      </c>
      <c r="D55" s="111" t="s">
        <v>192</v>
      </c>
      <c r="E55" s="111">
        <f>E57</f>
        <v>536</v>
      </c>
      <c r="F55" s="112">
        <v>273.45999999999998</v>
      </c>
      <c r="G55" s="114">
        <f t="shared" si="4"/>
        <v>146574.56</v>
      </c>
      <c r="H55" s="168" t="s">
        <v>400</v>
      </c>
    </row>
    <row r="56" spans="1:8" s="168" customFormat="1" ht="24">
      <c r="A56" s="166">
        <v>3</v>
      </c>
      <c r="B56" s="110" t="s">
        <v>193</v>
      </c>
      <c r="C56" s="110" t="s">
        <v>194</v>
      </c>
      <c r="D56" s="111" t="s">
        <v>195</v>
      </c>
      <c r="E56" s="111">
        <f>E61*20%/100</f>
        <v>2.1440000000000001</v>
      </c>
      <c r="F56" s="112">
        <v>54082.23</v>
      </c>
      <c r="G56" s="114">
        <f t="shared" si="4"/>
        <v>115952.3</v>
      </c>
      <c r="H56" s="168" t="s">
        <v>400</v>
      </c>
    </row>
    <row r="57" spans="1:8" s="168" customFormat="1" ht="36">
      <c r="A57" s="166">
        <v>4</v>
      </c>
      <c r="B57" s="110" t="s">
        <v>196</v>
      </c>
      <c r="C57" s="110" t="s">
        <v>197</v>
      </c>
      <c r="D57" s="111" t="s">
        <v>18</v>
      </c>
      <c r="E57" s="111">
        <f>E61-E58-E56*100</f>
        <v>536</v>
      </c>
      <c r="F57" s="112">
        <v>166.56</v>
      </c>
      <c r="G57" s="114">
        <f t="shared" si="4"/>
        <v>89276.160000000003</v>
      </c>
      <c r="H57" s="168" t="s">
        <v>400</v>
      </c>
    </row>
    <row r="58" spans="1:8" s="168" customFormat="1" ht="36">
      <c r="A58" s="166">
        <v>5</v>
      </c>
      <c r="B58" s="110" t="s">
        <v>126</v>
      </c>
      <c r="C58" s="110" t="s">
        <v>127</v>
      </c>
      <c r="D58" s="111" t="s">
        <v>18</v>
      </c>
      <c r="E58" s="111">
        <f>E61*30%</f>
        <v>321.60000000000002</v>
      </c>
      <c r="F58" s="112">
        <v>148.94</v>
      </c>
      <c r="G58" s="114">
        <f t="shared" si="4"/>
        <v>47899.1</v>
      </c>
      <c r="H58" s="168" t="s">
        <v>400</v>
      </c>
    </row>
    <row r="59" spans="1:8" s="168" customFormat="1" ht="36">
      <c r="A59" s="166">
        <v>6</v>
      </c>
      <c r="B59" s="110" t="s">
        <v>198</v>
      </c>
      <c r="C59" s="110" t="s">
        <v>199</v>
      </c>
      <c r="D59" s="111" t="s">
        <v>18</v>
      </c>
      <c r="E59" s="111">
        <f>E57</f>
        <v>536</v>
      </c>
      <c r="F59" s="112">
        <v>166.56</v>
      </c>
      <c r="G59" s="114">
        <f t="shared" si="4"/>
        <v>89276.160000000003</v>
      </c>
      <c r="H59" s="168" t="s">
        <v>400</v>
      </c>
    </row>
    <row r="60" spans="1:8" s="168" customFormat="1" ht="48">
      <c r="A60" s="166">
        <v>7</v>
      </c>
      <c r="B60" s="110" t="s">
        <v>128</v>
      </c>
      <c r="C60" s="110" t="s">
        <v>129</v>
      </c>
      <c r="D60" s="111" t="s">
        <v>18</v>
      </c>
      <c r="E60" s="111">
        <f>E56*100*1.5</f>
        <v>321.60000000000002</v>
      </c>
      <c r="F60" s="112">
        <v>118.86</v>
      </c>
      <c r="G60" s="114">
        <f t="shared" si="4"/>
        <v>38225.379999999997</v>
      </c>
      <c r="H60" s="168" t="s">
        <v>400</v>
      </c>
    </row>
    <row r="61" spans="1:8" s="168" customFormat="1" ht="36">
      <c r="A61" s="166">
        <v>8</v>
      </c>
      <c r="B61" s="110" t="s">
        <v>200</v>
      </c>
      <c r="C61" s="110" t="s">
        <v>201</v>
      </c>
      <c r="D61" s="111" t="s">
        <v>18</v>
      </c>
      <c r="E61" s="111">
        <f>52*6+76*10</f>
        <v>1072</v>
      </c>
      <c r="F61" s="112">
        <v>100.98</v>
      </c>
      <c r="G61" s="114">
        <f t="shared" si="4"/>
        <v>108250.56</v>
      </c>
      <c r="H61" s="168" t="s">
        <v>400</v>
      </c>
    </row>
    <row r="62" spans="1:8" s="176" customFormat="1">
      <c r="A62" s="169"/>
      <c r="B62" s="170"/>
      <c r="C62" s="171" t="s">
        <v>401</v>
      </c>
      <c r="D62" s="172"/>
      <c r="E62" s="173"/>
      <c r="F62" s="174"/>
      <c r="G62" s="175">
        <f>SUM(G54:G61)</f>
        <v>651090.69999999995</v>
      </c>
    </row>
    <row r="63" spans="1:8" s="168" customFormat="1" ht="24">
      <c r="A63" s="166">
        <v>1</v>
      </c>
      <c r="B63" s="110" t="s">
        <v>124</v>
      </c>
      <c r="C63" s="110" t="s">
        <v>125</v>
      </c>
      <c r="D63" s="111" t="s">
        <v>14</v>
      </c>
      <c r="E63" s="167">
        <f>E70/60</f>
        <v>15.567</v>
      </c>
      <c r="F63" s="112">
        <v>875.16</v>
      </c>
      <c r="G63" s="114">
        <f t="shared" ref="G63:G70" si="5">E63*F63</f>
        <v>13623.62</v>
      </c>
      <c r="H63" s="168" t="s">
        <v>476</v>
      </c>
    </row>
    <row r="64" spans="1:8" s="168" customFormat="1" ht="24">
      <c r="A64" s="166">
        <v>2</v>
      </c>
      <c r="B64" s="110" t="s">
        <v>190</v>
      </c>
      <c r="C64" s="110" t="s">
        <v>191</v>
      </c>
      <c r="D64" s="111" t="s">
        <v>192</v>
      </c>
      <c r="E64" s="111">
        <f>E66</f>
        <v>467</v>
      </c>
      <c r="F64" s="112">
        <v>273.45999999999998</v>
      </c>
      <c r="G64" s="114">
        <f t="shared" si="5"/>
        <v>127705.82</v>
      </c>
      <c r="H64" s="168" t="s">
        <v>476</v>
      </c>
    </row>
    <row r="65" spans="1:8" s="168" customFormat="1" ht="24">
      <c r="A65" s="166">
        <v>3</v>
      </c>
      <c r="B65" s="110" t="s">
        <v>193</v>
      </c>
      <c r="C65" s="110" t="s">
        <v>194</v>
      </c>
      <c r="D65" s="111" t="s">
        <v>195</v>
      </c>
      <c r="E65" s="111">
        <f>E70*20%/100</f>
        <v>1.8680000000000001</v>
      </c>
      <c r="F65" s="112">
        <v>54082.23</v>
      </c>
      <c r="G65" s="114">
        <f t="shared" si="5"/>
        <v>101025.61</v>
      </c>
      <c r="H65" s="168" t="s">
        <v>476</v>
      </c>
    </row>
    <row r="66" spans="1:8" s="168" customFormat="1" ht="36">
      <c r="A66" s="166">
        <v>4</v>
      </c>
      <c r="B66" s="110" t="s">
        <v>196</v>
      </c>
      <c r="C66" s="110" t="s">
        <v>197</v>
      </c>
      <c r="D66" s="111" t="s">
        <v>18</v>
      </c>
      <c r="E66" s="111">
        <f>E70-E67-E65*100</f>
        <v>467</v>
      </c>
      <c r="F66" s="112">
        <v>166.56</v>
      </c>
      <c r="G66" s="114">
        <f t="shared" si="5"/>
        <v>77783.520000000004</v>
      </c>
      <c r="H66" s="168" t="s">
        <v>476</v>
      </c>
    </row>
    <row r="67" spans="1:8" s="168" customFormat="1" ht="36">
      <c r="A67" s="166">
        <v>5</v>
      </c>
      <c r="B67" s="110" t="s">
        <v>126</v>
      </c>
      <c r="C67" s="110" t="s">
        <v>127</v>
      </c>
      <c r="D67" s="111" t="s">
        <v>18</v>
      </c>
      <c r="E67" s="111">
        <f>E70*30%</f>
        <v>280.2</v>
      </c>
      <c r="F67" s="112">
        <v>148.94</v>
      </c>
      <c r="G67" s="114">
        <f t="shared" si="5"/>
        <v>41732.99</v>
      </c>
      <c r="H67" s="168" t="s">
        <v>476</v>
      </c>
    </row>
    <row r="68" spans="1:8" s="168" customFormat="1" ht="36">
      <c r="A68" s="166">
        <v>6</v>
      </c>
      <c r="B68" s="110" t="s">
        <v>198</v>
      </c>
      <c r="C68" s="110" t="s">
        <v>199</v>
      </c>
      <c r="D68" s="111" t="s">
        <v>18</v>
      </c>
      <c r="E68" s="111">
        <f>E66</f>
        <v>467</v>
      </c>
      <c r="F68" s="112">
        <v>166.56</v>
      </c>
      <c r="G68" s="114">
        <f t="shared" si="5"/>
        <v>77783.520000000004</v>
      </c>
      <c r="H68" s="168" t="s">
        <v>476</v>
      </c>
    </row>
    <row r="69" spans="1:8" s="168" customFormat="1" ht="48">
      <c r="A69" s="166">
        <v>7</v>
      </c>
      <c r="B69" s="110" t="s">
        <v>128</v>
      </c>
      <c r="C69" s="110" t="s">
        <v>129</v>
      </c>
      <c r="D69" s="111" t="s">
        <v>18</v>
      </c>
      <c r="E69" s="111">
        <f>E65*100*1.5</f>
        <v>280.2</v>
      </c>
      <c r="F69" s="112">
        <v>118.86</v>
      </c>
      <c r="G69" s="114">
        <f t="shared" si="5"/>
        <v>33304.57</v>
      </c>
      <c r="H69" s="168" t="s">
        <v>476</v>
      </c>
    </row>
    <row r="70" spans="1:8" s="168" customFormat="1" ht="36">
      <c r="A70" s="166">
        <v>8</v>
      </c>
      <c r="B70" s="110" t="s">
        <v>200</v>
      </c>
      <c r="C70" s="110" t="s">
        <v>201</v>
      </c>
      <c r="D70" s="111" t="s">
        <v>18</v>
      </c>
      <c r="E70" s="111">
        <f>59*6+58*10</f>
        <v>934</v>
      </c>
      <c r="F70" s="112">
        <v>100.98</v>
      </c>
      <c r="G70" s="114">
        <f t="shared" si="5"/>
        <v>94315.32</v>
      </c>
      <c r="H70" s="168" t="s">
        <v>476</v>
      </c>
    </row>
    <row r="71" spans="1:8" s="176" customFormat="1">
      <c r="A71" s="169"/>
      <c r="B71" s="170"/>
      <c r="C71" s="171" t="s">
        <v>477</v>
      </c>
      <c r="D71" s="172"/>
      <c r="E71" s="173"/>
      <c r="F71" s="174"/>
      <c r="G71" s="175">
        <f>SUM(G63:G70)</f>
        <v>567274.97</v>
      </c>
    </row>
    <row r="72" spans="1:8" s="168" customFormat="1" ht="24">
      <c r="A72" s="166">
        <v>1</v>
      </c>
      <c r="B72" s="110" t="s">
        <v>124</v>
      </c>
      <c r="C72" s="110" t="s">
        <v>125</v>
      </c>
      <c r="D72" s="111" t="s">
        <v>14</v>
      </c>
      <c r="E72" s="167">
        <f>E79/60</f>
        <v>11.867000000000001</v>
      </c>
      <c r="F72" s="112">
        <v>875.16</v>
      </c>
      <c r="G72" s="114">
        <f t="shared" ref="G72:G79" si="6">E72*F72</f>
        <v>10385.52</v>
      </c>
      <c r="H72" s="168" t="s">
        <v>500</v>
      </c>
    </row>
    <row r="73" spans="1:8" s="168" customFormat="1" ht="24">
      <c r="A73" s="166">
        <v>2</v>
      </c>
      <c r="B73" s="110" t="s">
        <v>190</v>
      </c>
      <c r="C73" s="110" t="s">
        <v>191</v>
      </c>
      <c r="D73" s="111" t="s">
        <v>192</v>
      </c>
      <c r="E73" s="111">
        <f>E75</f>
        <v>356</v>
      </c>
      <c r="F73" s="112">
        <v>273.45999999999998</v>
      </c>
      <c r="G73" s="114">
        <f t="shared" si="6"/>
        <v>97351.76</v>
      </c>
      <c r="H73" s="168" t="s">
        <v>500</v>
      </c>
    </row>
    <row r="74" spans="1:8" s="168" customFormat="1" ht="24">
      <c r="A74" s="166">
        <v>3</v>
      </c>
      <c r="B74" s="110" t="s">
        <v>193</v>
      </c>
      <c r="C74" s="110" t="s">
        <v>194</v>
      </c>
      <c r="D74" s="111" t="s">
        <v>195</v>
      </c>
      <c r="E74" s="111">
        <f>E79*20%/100</f>
        <v>1.4239999999999999</v>
      </c>
      <c r="F74" s="112">
        <v>54082.23</v>
      </c>
      <c r="G74" s="114">
        <f t="shared" si="6"/>
        <v>77013.100000000006</v>
      </c>
      <c r="H74" s="168" t="s">
        <v>500</v>
      </c>
    </row>
    <row r="75" spans="1:8" s="168" customFormat="1" ht="36">
      <c r="A75" s="166">
        <v>4</v>
      </c>
      <c r="B75" s="110" t="s">
        <v>196</v>
      </c>
      <c r="C75" s="110" t="s">
        <v>197</v>
      </c>
      <c r="D75" s="111" t="s">
        <v>18</v>
      </c>
      <c r="E75" s="111">
        <f>E79-E76-E74*100</f>
        <v>356</v>
      </c>
      <c r="F75" s="112">
        <v>166.56</v>
      </c>
      <c r="G75" s="114">
        <f t="shared" si="6"/>
        <v>59295.360000000001</v>
      </c>
      <c r="H75" s="168" t="s">
        <v>500</v>
      </c>
    </row>
    <row r="76" spans="1:8" s="168" customFormat="1" ht="36">
      <c r="A76" s="166">
        <v>5</v>
      </c>
      <c r="B76" s="110" t="s">
        <v>126</v>
      </c>
      <c r="C76" s="110" t="s">
        <v>127</v>
      </c>
      <c r="D76" s="111" t="s">
        <v>18</v>
      </c>
      <c r="E76" s="111">
        <f>E79*30%</f>
        <v>213.6</v>
      </c>
      <c r="F76" s="112">
        <v>148.94</v>
      </c>
      <c r="G76" s="114">
        <f t="shared" si="6"/>
        <v>31813.58</v>
      </c>
      <c r="H76" s="168" t="s">
        <v>500</v>
      </c>
    </row>
    <row r="77" spans="1:8" s="168" customFormat="1" ht="36">
      <c r="A77" s="166">
        <v>6</v>
      </c>
      <c r="B77" s="110" t="s">
        <v>198</v>
      </c>
      <c r="C77" s="110" t="s">
        <v>199</v>
      </c>
      <c r="D77" s="111" t="s">
        <v>18</v>
      </c>
      <c r="E77" s="111">
        <f>E75</f>
        <v>356</v>
      </c>
      <c r="F77" s="112">
        <v>166.56</v>
      </c>
      <c r="G77" s="114">
        <f t="shared" si="6"/>
        <v>59295.360000000001</v>
      </c>
      <c r="H77" s="168" t="s">
        <v>500</v>
      </c>
    </row>
    <row r="78" spans="1:8" s="168" customFormat="1" ht="48">
      <c r="A78" s="166">
        <v>7</v>
      </c>
      <c r="B78" s="110" t="s">
        <v>128</v>
      </c>
      <c r="C78" s="110" t="s">
        <v>129</v>
      </c>
      <c r="D78" s="111" t="s">
        <v>18</v>
      </c>
      <c r="E78" s="111">
        <f>E74*100*1.5</f>
        <v>213.6</v>
      </c>
      <c r="F78" s="112">
        <v>118.86</v>
      </c>
      <c r="G78" s="114">
        <f t="shared" si="6"/>
        <v>25388.5</v>
      </c>
      <c r="H78" s="168" t="s">
        <v>500</v>
      </c>
    </row>
    <row r="79" spans="1:8" s="168" customFormat="1" ht="36">
      <c r="A79" s="166">
        <v>8</v>
      </c>
      <c r="B79" s="110" t="s">
        <v>200</v>
      </c>
      <c r="C79" s="110" t="s">
        <v>201</v>
      </c>
      <c r="D79" s="111" t="s">
        <v>18</v>
      </c>
      <c r="E79" s="111">
        <f>32*6+52*10</f>
        <v>712</v>
      </c>
      <c r="F79" s="112">
        <v>100.98</v>
      </c>
      <c r="G79" s="114">
        <f t="shared" si="6"/>
        <v>71897.759999999995</v>
      </c>
      <c r="H79" s="168" t="s">
        <v>500</v>
      </c>
    </row>
    <row r="80" spans="1:8" s="176" customFormat="1">
      <c r="A80" s="169"/>
      <c r="B80" s="170"/>
      <c r="C80" s="171" t="s">
        <v>501</v>
      </c>
      <c r="D80" s="172"/>
      <c r="E80" s="173"/>
      <c r="F80" s="174"/>
      <c r="G80" s="175">
        <f>SUM(G72:G79)</f>
        <v>432440.94</v>
      </c>
    </row>
    <row r="81" spans="1:8" s="168" customFormat="1" ht="24">
      <c r="A81" s="166">
        <v>9</v>
      </c>
      <c r="B81" s="110" t="s">
        <v>124</v>
      </c>
      <c r="C81" s="110" t="s">
        <v>125</v>
      </c>
      <c r="D81" s="111" t="s">
        <v>14</v>
      </c>
      <c r="E81" s="167">
        <f>E88/60</f>
        <v>12.532999999999999</v>
      </c>
      <c r="F81" s="112">
        <v>875.16</v>
      </c>
      <c r="G81" s="114">
        <f t="shared" ref="G81:G88" si="7">E81*F81</f>
        <v>10968.38</v>
      </c>
      <c r="H81" s="168" t="s">
        <v>529</v>
      </c>
    </row>
    <row r="82" spans="1:8" s="168" customFormat="1" ht="24">
      <c r="A82" s="166">
        <v>10</v>
      </c>
      <c r="B82" s="110" t="s">
        <v>190</v>
      </c>
      <c r="C82" s="110" t="s">
        <v>191</v>
      </c>
      <c r="D82" s="111" t="s">
        <v>192</v>
      </c>
      <c r="E82" s="111">
        <f>E84</f>
        <v>376</v>
      </c>
      <c r="F82" s="112">
        <v>273.45999999999998</v>
      </c>
      <c r="G82" s="114">
        <f t="shared" si="7"/>
        <v>102820.96</v>
      </c>
      <c r="H82" s="168" t="s">
        <v>529</v>
      </c>
    </row>
    <row r="83" spans="1:8" s="168" customFormat="1" ht="24">
      <c r="A83" s="166">
        <v>11</v>
      </c>
      <c r="B83" s="110" t="s">
        <v>193</v>
      </c>
      <c r="C83" s="110" t="s">
        <v>194</v>
      </c>
      <c r="D83" s="111" t="s">
        <v>195</v>
      </c>
      <c r="E83" s="111">
        <f>E88*20%/100</f>
        <v>1.504</v>
      </c>
      <c r="F83" s="112">
        <v>54082.23</v>
      </c>
      <c r="G83" s="114">
        <f t="shared" si="7"/>
        <v>81339.67</v>
      </c>
      <c r="H83" s="168" t="s">
        <v>529</v>
      </c>
    </row>
    <row r="84" spans="1:8" s="168" customFormat="1" ht="36">
      <c r="A84" s="166">
        <v>12</v>
      </c>
      <c r="B84" s="110" t="s">
        <v>196</v>
      </c>
      <c r="C84" s="110" t="s">
        <v>197</v>
      </c>
      <c r="D84" s="111" t="s">
        <v>18</v>
      </c>
      <c r="E84" s="111">
        <f>E88-E85-E83*100</f>
        <v>376</v>
      </c>
      <c r="F84" s="112">
        <v>166.56</v>
      </c>
      <c r="G84" s="114">
        <f t="shared" si="7"/>
        <v>62626.559999999998</v>
      </c>
      <c r="H84" s="168" t="s">
        <v>529</v>
      </c>
    </row>
    <row r="85" spans="1:8" s="168" customFormat="1" ht="36">
      <c r="A85" s="166">
        <v>13</v>
      </c>
      <c r="B85" s="110" t="s">
        <v>126</v>
      </c>
      <c r="C85" s="110" t="s">
        <v>127</v>
      </c>
      <c r="D85" s="111" t="s">
        <v>18</v>
      </c>
      <c r="E85" s="111">
        <f>E88*30%</f>
        <v>225.6</v>
      </c>
      <c r="F85" s="112">
        <v>148.94</v>
      </c>
      <c r="G85" s="114">
        <f t="shared" si="7"/>
        <v>33600.86</v>
      </c>
      <c r="H85" s="168" t="s">
        <v>529</v>
      </c>
    </row>
    <row r="86" spans="1:8" s="168" customFormat="1" ht="36">
      <c r="A86" s="166">
        <v>14</v>
      </c>
      <c r="B86" s="110" t="s">
        <v>198</v>
      </c>
      <c r="C86" s="110" t="s">
        <v>199</v>
      </c>
      <c r="D86" s="111" t="s">
        <v>18</v>
      </c>
      <c r="E86" s="111">
        <f>E84</f>
        <v>376</v>
      </c>
      <c r="F86" s="112">
        <v>166.56</v>
      </c>
      <c r="G86" s="114">
        <f t="shared" si="7"/>
        <v>62626.559999999998</v>
      </c>
      <c r="H86" s="168" t="s">
        <v>529</v>
      </c>
    </row>
    <row r="87" spans="1:8" s="168" customFormat="1" ht="48">
      <c r="A87" s="166">
        <v>15</v>
      </c>
      <c r="B87" s="110" t="s">
        <v>128</v>
      </c>
      <c r="C87" s="110" t="s">
        <v>129</v>
      </c>
      <c r="D87" s="111" t="s">
        <v>18</v>
      </c>
      <c r="E87" s="111">
        <f>E83*100*1.5</f>
        <v>225.6</v>
      </c>
      <c r="F87" s="112">
        <v>118.86</v>
      </c>
      <c r="G87" s="114">
        <f t="shared" si="7"/>
        <v>26814.82</v>
      </c>
      <c r="H87" s="168" t="s">
        <v>529</v>
      </c>
    </row>
    <row r="88" spans="1:8" s="168" customFormat="1" ht="36">
      <c r="A88" s="166">
        <v>16</v>
      </c>
      <c r="B88" s="110" t="s">
        <v>200</v>
      </c>
      <c r="C88" s="110" t="s">
        <v>201</v>
      </c>
      <c r="D88" s="111" t="s">
        <v>18</v>
      </c>
      <c r="E88" s="111">
        <f>12*6+68*10</f>
        <v>752</v>
      </c>
      <c r="F88" s="112">
        <v>100.98</v>
      </c>
      <c r="G88" s="114">
        <f t="shared" si="7"/>
        <v>75936.960000000006</v>
      </c>
      <c r="H88" s="168" t="s">
        <v>529</v>
      </c>
    </row>
    <row r="89" spans="1:8" s="176" customFormat="1">
      <c r="A89" s="169"/>
      <c r="B89" s="170"/>
      <c r="C89" s="171" t="s">
        <v>528</v>
      </c>
      <c r="D89" s="232"/>
      <c r="E89" s="173"/>
      <c r="F89" s="174"/>
      <c r="G89" s="175">
        <f>SUM(G81:G88)</f>
        <v>456734.77</v>
      </c>
    </row>
    <row r="90" spans="1:8" s="168" customFormat="1" ht="24">
      <c r="A90" s="166">
        <v>12</v>
      </c>
      <c r="B90" s="110" t="s">
        <v>124</v>
      </c>
      <c r="C90" s="110" t="s">
        <v>125</v>
      </c>
      <c r="D90" s="111" t="s">
        <v>14</v>
      </c>
      <c r="E90" s="167">
        <f>E97/60</f>
        <v>17.332999999999998</v>
      </c>
      <c r="F90" s="112">
        <v>875.16</v>
      </c>
      <c r="G90" s="114">
        <f t="shared" ref="G90:G99" si="8">E90*F90</f>
        <v>15169.15</v>
      </c>
      <c r="H90" s="168" t="s">
        <v>567</v>
      </c>
    </row>
    <row r="91" spans="1:8" s="168" customFormat="1" ht="24">
      <c r="A91" s="166">
        <v>13</v>
      </c>
      <c r="B91" s="110" t="s">
        <v>190</v>
      </c>
      <c r="C91" s="110" t="s">
        <v>191</v>
      </c>
      <c r="D91" s="111" t="s">
        <v>192</v>
      </c>
      <c r="E91" s="111">
        <f>E93</f>
        <v>520</v>
      </c>
      <c r="F91" s="112">
        <v>273.45999999999998</v>
      </c>
      <c r="G91" s="114">
        <f t="shared" si="8"/>
        <v>142199.20000000001</v>
      </c>
      <c r="H91" s="168" t="s">
        <v>567</v>
      </c>
    </row>
    <row r="92" spans="1:8" s="168" customFormat="1" ht="24">
      <c r="A92" s="166">
        <v>14</v>
      </c>
      <c r="B92" s="110" t="s">
        <v>193</v>
      </c>
      <c r="C92" s="110" t="s">
        <v>194</v>
      </c>
      <c r="D92" s="111" t="s">
        <v>195</v>
      </c>
      <c r="E92" s="111">
        <f>E97*20%/100</f>
        <v>2.08</v>
      </c>
      <c r="F92" s="112">
        <v>54082.23</v>
      </c>
      <c r="G92" s="114">
        <f t="shared" si="8"/>
        <v>112491.04</v>
      </c>
      <c r="H92" s="168" t="s">
        <v>567</v>
      </c>
    </row>
    <row r="93" spans="1:8" s="168" customFormat="1" ht="36">
      <c r="A93" s="166">
        <v>15</v>
      </c>
      <c r="B93" s="110" t="s">
        <v>196</v>
      </c>
      <c r="C93" s="110" t="s">
        <v>197</v>
      </c>
      <c r="D93" s="111" t="s">
        <v>18</v>
      </c>
      <c r="E93" s="111">
        <f>E97-E94-E92*100</f>
        <v>520</v>
      </c>
      <c r="F93" s="112">
        <v>166.56</v>
      </c>
      <c r="G93" s="114">
        <f t="shared" si="8"/>
        <v>86611.199999999997</v>
      </c>
      <c r="H93" s="168" t="s">
        <v>567</v>
      </c>
    </row>
    <row r="94" spans="1:8" s="168" customFormat="1" ht="36">
      <c r="A94" s="166">
        <v>16</v>
      </c>
      <c r="B94" s="110" t="s">
        <v>126</v>
      </c>
      <c r="C94" s="110" t="s">
        <v>127</v>
      </c>
      <c r="D94" s="111" t="s">
        <v>18</v>
      </c>
      <c r="E94" s="111">
        <f>E97*30%</f>
        <v>312</v>
      </c>
      <c r="F94" s="112">
        <v>148.94</v>
      </c>
      <c r="G94" s="114">
        <f t="shared" si="8"/>
        <v>46469.279999999999</v>
      </c>
      <c r="H94" s="168" t="s">
        <v>567</v>
      </c>
    </row>
    <row r="95" spans="1:8" s="168" customFormat="1" ht="36">
      <c r="A95" s="166">
        <v>17</v>
      </c>
      <c r="B95" s="110" t="s">
        <v>198</v>
      </c>
      <c r="C95" s="110" t="s">
        <v>199</v>
      </c>
      <c r="D95" s="111" t="s">
        <v>18</v>
      </c>
      <c r="E95" s="111">
        <f>E93</f>
        <v>520</v>
      </c>
      <c r="F95" s="112">
        <v>166.56</v>
      </c>
      <c r="G95" s="114">
        <f t="shared" si="8"/>
        <v>86611.199999999997</v>
      </c>
      <c r="H95" s="168" t="s">
        <v>567</v>
      </c>
    </row>
    <row r="96" spans="1:8" s="168" customFormat="1" ht="48">
      <c r="A96" s="166">
        <v>18</v>
      </c>
      <c r="B96" s="110" t="s">
        <v>128</v>
      </c>
      <c r="C96" s="110" t="s">
        <v>129</v>
      </c>
      <c r="D96" s="111" t="s">
        <v>18</v>
      </c>
      <c r="E96" s="111">
        <f>E92*100*1.5</f>
        <v>312</v>
      </c>
      <c r="F96" s="112">
        <v>118.86</v>
      </c>
      <c r="G96" s="114">
        <f t="shared" si="8"/>
        <v>37084.32</v>
      </c>
      <c r="H96" s="168" t="s">
        <v>567</v>
      </c>
    </row>
    <row r="97" spans="1:8" s="168" customFormat="1" ht="36">
      <c r="A97" s="166">
        <v>19</v>
      </c>
      <c r="B97" s="110" t="s">
        <v>200</v>
      </c>
      <c r="C97" s="110" t="s">
        <v>201</v>
      </c>
      <c r="D97" s="111" t="s">
        <v>18</v>
      </c>
      <c r="E97" s="111">
        <f>60*6+68*10</f>
        <v>1040</v>
      </c>
      <c r="F97" s="112">
        <v>100.98</v>
      </c>
      <c r="G97" s="114">
        <f t="shared" si="8"/>
        <v>105019.2</v>
      </c>
      <c r="H97" s="168" t="s">
        <v>567</v>
      </c>
    </row>
    <row r="98" spans="1:8" s="168" customFormat="1" ht="12">
      <c r="A98" s="166">
        <v>20</v>
      </c>
      <c r="B98" s="110"/>
      <c r="C98" s="110" t="s">
        <v>569</v>
      </c>
      <c r="D98" s="111" t="s">
        <v>570</v>
      </c>
      <c r="E98" s="111">
        <v>52</v>
      </c>
      <c r="F98" s="112">
        <f>36400/52</f>
        <v>700</v>
      </c>
      <c r="G98" s="114">
        <f t="shared" si="8"/>
        <v>36400</v>
      </c>
      <c r="H98" s="168" t="s">
        <v>567</v>
      </c>
    </row>
    <row r="99" spans="1:8" s="168" customFormat="1" ht="12">
      <c r="A99" s="166">
        <v>21</v>
      </c>
      <c r="B99" s="110"/>
      <c r="C99" s="110" t="s">
        <v>571</v>
      </c>
      <c r="D99" s="111" t="s">
        <v>570</v>
      </c>
      <c r="E99" s="111">
        <v>72</v>
      </c>
      <c r="F99" s="112">
        <f>43200/72</f>
        <v>600</v>
      </c>
      <c r="G99" s="114">
        <f t="shared" si="8"/>
        <v>43200</v>
      </c>
      <c r="H99" s="168" t="s">
        <v>567</v>
      </c>
    </row>
    <row r="100" spans="1:8" s="176" customFormat="1">
      <c r="A100" s="169"/>
      <c r="B100" s="170"/>
      <c r="C100" s="171" t="s">
        <v>572</v>
      </c>
      <c r="D100" s="232"/>
      <c r="E100" s="173"/>
      <c r="F100" s="174"/>
      <c r="G100" s="175">
        <f>SUM(G90:G99)</f>
        <v>711254.59</v>
      </c>
    </row>
    <row r="101" spans="1:8" s="168" customFormat="1" ht="24">
      <c r="A101" s="166">
        <v>5</v>
      </c>
      <c r="B101" s="110" t="s">
        <v>124</v>
      </c>
      <c r="C101" s="110" t="s">
        <v>125</v>
      </c>
      <c r="D101" s="111" t="s">
        <v>14</v>
      </c>
      <c r="E101" s="167">
        <f>E108/60</f>
        <v>7.133</v>
      </c>
      <c r="F101" s="112">
        <v>875.16</v>
      </c>
      <c r="G101" s="114">
        <f t="shared" ref="G101:G111" si="9">E101*F101</f>
        <v>6242.52</v>
      </c>
      <c r="H101" s="168" t="s">
        <v>530</v>
      </c>
    </row>
    <row r="102" spans="1:8" s="168" customFormat="1" ht="24">
      <c r="A102" s="166">
        <v>6</v>
      </c>
      <c r="B102" s="110" t="s">
        <v>190</v>
      </c>
      <c r="C102" s="110" t="s">
        <v>191</v>
      </c>
      <c r="D102" s="111" t="s">
        <v>192</v>
      </c>
      <c r="E102" s="111">
        <f>E104</f>
        <v>214</v>
      </c>
      <c r="F102" s="112">
        <v>273.45999999999998</v>
      </c>
      <c r="G102" s="114">
        <f t="shared" si="9"/>
        <v>58520.44</v>
      </c>
      <c r="H102" s="168" t="s">
        <v>530</v>
      </c>
    </row>
    <row r="103" spans="1:8" s="168" customFormat="1" ht="24">
      <c r="A103" s="166">
        <v>7</v>
      </c>
      <c r="B103" s="110" t="s">
        <v>193</v>
      </c>
      <c r="C103" s="110" t="s">
        <v>194</v>
      </c>
      <c r="D103" s="111" t="s">
        <v>195</v>
      </c>
      <c r="E103" s="111">
        <f>E108*20%/100</f>
        <v>0.85599999999999998</v>
      </c>
      <c r="F103" s="112">
        <v>54082.23</v>
      </c>
      <c r="G103" s="114">
        <f t="shared" si="9"/>
        <v>46294.39</v>
      </c>
      <c r="H103" s="168" t="s">
        <v>530</v>
      </c>
    </row>
    <row r="104" spans="1:8" s="168" customFormat="1" ht="36">
      <c r="A104" s="166">
        <v>8</v>
      </c>
      <c r="B104" s="110" t="s">
        <v>196</v>
      </c>
      <c r="C104" s="110" t="s">
        <v>197</v>
      </c>
      <c r="D104" s="111" t="s">
        <v>18</v>
      </c>
      <c r="E104" s="111">
        <f>E108-E105-E103*100</f>
        <v>214</v>
      </c>
      <c r="F104" s="112">
        <v>166.56</v>
      </c>
      <c r="G104" s="114">
        <f t="shared" si="9"/>
        <v>35643.839999999997</v>
      </c>
      <c r="H104" s="168" t="s">
        <v>530</v>
      </c>
    </row>
    <row r="105" spans="1:8" s="168" customFormat="1" ht="36">
      <c r="A105" s="166">
        <v>9</v>
      </c>
      <c r="B105" s="110" t="s">
        <v>126</v>
      </c>
      <c r="C105" s="110" t="s">
        <v>127</v>
      </c>
      <c r="D105" s="111" t="s">
        <v>18</v>
      </c>
      <c r="E105" s="111">
        <f>E108*30%</f>
        <v>128.4</v>
      </c>
      <c r="F105" s="112">
        <v>148.94</v>
      </c>
      <c r="G105" s="114">
        <f t="shared" si="9"/>
        <v>19123.900000000001</v>
      </c>
      <c r="H105" s="168" t="s">
        <v>530</v>
      </c>
    </row>
    <row r="106" spans="1:8" s="168" customFormat="1" ht="36">
      <c r="A106" s="166">
        <v>10</v>
      </c>
      <c r="B106" s="110" t="s">
        <v>198</v>
      </c>
      <c r="C106" s="110" t="s">
        <v>199</v>
      </c>
      <c r="D106" s="111" t="s">
        <v>18</v>
      </c>
      <c r="E106" s="111">
        <f>E104</f>
        <v>214</v>
      </c>
      <c r="F106" s="112">
        <v>166.56</v>
      </c>
      <c r="G106" s="114">
        <f t="shared" si="9"/>
        <v>35643.839999999997</v>
      </c>
      <c r="H106" s="168" t="s">
        <v>530</v>
      </c>
    </row>
    <row r="107" spans="1:8" s="168" customFormat="1" ht="48">
      <c r="A107" s="166">
        <v>11</v>
      </c>
      <c r="B107" s="110" t="s">
        <v>128</v>
      </c>
      <c r="C107" s="110" t="s">
        <v>129</v>
      </c>
      <c r="D107" s="111" t="s">
        <v>18</v>
      </c>
      <c r="E107" s="111">
        <f>E103*100*1.5</f>
        <v>128.4</v>
      </c>
      <c r="F107" s="112">
        <v>118.86</v>
      </c>
      <c r="G107" s="114">
        <f t="shared" si="9"/>
        <v>15261.62</v>
      </c>
      <c r="H107" s="168" t="s">
        <v>530</v>
      </c>
    </row>
    <row r="108" spans="1:8" s="168" customFormat="1" ht="36">
      <c r="A108" s="166">
        <v>12</v>
      </c>
      <c r="B108" s="110" t="s">
        <v>200</v>
      </c>
      <c r="C108" s="110" t="s">
        <v>201</v>
      </c>
      <c r="D108" s="111" t="s">
        <v>18</v>
      </c>
      <c r="E108" s="111">
        <f>18*6+32*10</f>
        <v>428</v>
      </c>
      <c r="F108" s="112">
        <v>100.98</v>
      </c>
      <c r="G108" s="114">
        <f t="shared" si="9"/>
        <v>43219.44</v>
      </c>
      <c r="H108" s="168" t="s">
        <v>530</v>
      </c>
    </row>
    <row r="109" spans="1:8" s="168" customFormat="1" ht="12">
      <c r="A109" s="166">
        <v>13</v>
      </c>
      <c r="B109" s="110"/>
      <c r="C109" s="110" t="s">
        <v>692</v>
      </c>
      <c r="D109" s="111" t="s">
        <v>570</v>
      </c>
      <c r="E109" s="111">
        <v>35</v>
      </c>
      <c r="F109" s="112">
        <v>1000</v>
      </c>
      <c r="G109" s="114">
        <f t="shared" si="9"/>
        <v>35000</v>
      </c>
      <c r="H109" s="168" t="s">
        <v>530</v>
      </c>
    </row>
    <row r="110" spans="1:8" s="168" customFormat="1" ht="12">
      <c r="A110" s="166">
        <v>14</v>
      </c>
      <c r="B110" s="110"/>
      <c r="C110" s="110" t="s">
        <v>693</v>
      </c>
      <c r="D110" s="111" t="s">
        <v>570</v>
      </c>
      <c r="E110" s="111">
        <v>32</v>
      </c>
      <c r="F110" s="112">
        <v>1200</v>
      </c>
      <c r="G110" s="114">
        <f t="shared" si="9"/>
        <v>38400</v>
      </c>
      <c r="H110" s="168" t="s">
        <v>530</v>
      </c>
    </row>
    <row r="111" spans="1:8" s="182" customFormat="1">
      <c r="A111" s="166">
        <v>15</v>
      </c>
      <c r="B111" s="177"/>
      <c r="C111" s="178" t="s">
        <v>597</v>
      </c>
      <c r="D111" s="188" t="s">
        <v>570</v>
      </c>
      <c r="E111" s="180">
        <f>120+32</f>
        <v>152</v>
      </c>
      <c r="F111" s="181">
        <f>28800/48</f>
        <v>600</v>
      </c>
      <c r="G111" s="114">
        <f t="shared" si="9"/>
        <v>91200</v>
      </c>
      <c r="H111" s="168" t="s">
        <v>530</v>
      </c>
    </row>
    <row r="112" spans="1:8" s="176" customFormat="1">
      <c r="A112" s="169"/>
      <c r="B112" s="170"/>
      <c r="C112" s="171" t="s">
        <v>691</v>
      </c>
      <c r="D112" s="232"/>
      <c r="E112" s="173"/>
      <c r="F112" s="174"/>
      <c r="G112" s="175">
        <f>SUM(G101:G111)</f>
        <v>424549.99</v>
      </c>
    </row>
    <row r="113" spans="1:7" s="32" customFormat="1">
      <c r="A113" s="25"/>
      <c r="B113" s="26"/>
      <c r="C113" s="27" t="s">
        <v>143</v>
      </c>
      <c r="D113" s="28"/>
      <c r="E113" s="29"/>
      <c r="F113" s="30"/>
      <c r="G113" s="31">
        <f>G26+G35+G44+G53+G62+G71+G80+G89+G100+G112</f>
        <v>5099138.91</v>
      </c>
    </row>
    <row r="114" spans="1:7" s="32" customFormat="1">
      <c r="A114" s="101"/>
      <c r="B114" s="102"/>
      <c r="C114" s="103"/>
      <c r="D114" s="104"/>
      <c r="E114" s="105"/>
      <c r="F114" s="106"/>
      <c r="G114" s="107"/>
    </row>
    <row r="115" spans="1:7" s="32" customFormat="1">
      <c r="A115" s="101"/>
      <c r="B115" s="102"/>
      <c r="C115" s="103"/>
      <c r="D115" s="104"/>
      <c r="E115" s="105"/>
      <c r="F115" s="106"/>
      <c r="G115" s="107"/>
    </row>
  </sheetData>
  <mergeCells count="23">
    <mergeCell ref="A6:C6"/>
    <mergeCell ref="E6:G6"/>
    <mergeCell ref="D1:G1"/>
    <mergeCell ref="D2:G2"/>
    <mergeCell ref="D3:G3"/>
    <mergeCell ref="C4:D5"/>
    <mergeCell ref="E5:G5"/>
    <mergeCell ref="A7:C7"/>
    <mergeCell ref="E7:G7"/>
    <mergeCell ref="A8:C8"/>
    <mergeCell ref="E8:G8"/>
    <mergeCell ref="A9:C9"/>
    <mergeCell ref="E9:G9"/>
    <mergeCell ref="D15:D16"/>
    <mergeCell ref="E15:E16"/>
    <mergeCell ref="F15:G15"/>
    <mergeCell ref="B19:E19"/>
    <mergeCell ref="C10:D10"/>
    <mergeCell ref="E10:G10"/>
    <mergeCell ref="E11:G11"/>
    <mergeCell ref="E12:G12"/>
    <mergeCell ref="C13:D13"/>
    <mergeCell ref="E13:G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65"/>
  <sheetViews>
    <sheetView topLeftCell="A36" workbookViewId="0">
      <selection activeCell="C52" sqref="C52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7109375" style="1" customWidth="1"/>
    <col min="8" max="8" width="9.140625" style="1"/>
    <col min="9" max="9" width="12.7109375" style="1" customWidth="1"/>
    <col min="10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41"/>
      <c r="F4" s="142" t="s">
        <v>29</v>
      </c>
      <c r="G4" s="143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40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40" t="s">
        <v>32</v>
      </c>
      <c r="E7" s="418"/>
      <c r="F7" s="418"/>
      <c r="G7" s="418"/>
    </row>
    <row r="8" spans="1:7" customFormat="1" ht="15">
      <c r="A8" s="408" t="s">
        <v>168</v>
      </c>
      <c r="B8" s="408"/>
      <c r="C8" s="408"/>
      <c r="D8" s="140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44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44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45"/>
      <c r="G14" s="145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8" customFormat="1" ht="15">
      <c r="A17" s="34"/>
      <c r="B17" s="34"/>
      <c r="C17" s="44"/>
      <c r="D17" s="45" t="s">
        <v>45</v>
      </c>
      <c r="E17" s="52" t="s">
        <v>169</v>
      </c>
      <c r="F17" s="52" t="s">
        <v>170</v>
      </c>
      <c r="G17" s="52" t="s">
        <v>171</v>
      </c>
    </row>
    <row r="18" spans="1:8" customFormat="1" ht="15">
      <c r="A18" s="47"/>
      <c r="B18" s="48"/>
      <c r="C18" s="146" t="s">
        <v>46</v>
      </c>
      <c r="D18" s="49"/>
      <c r="E18" s="47"/>
      <c r="F18" s="50"/>
      <c r="G18" s="51"/>
    </row>
    <row r="19" spans="1:8" customFormat="1" ht="15">
      <c r="A19" s="47"/>
      <c r="B19" s="426" t="s">
        <v>172</v>
      </c>
      <c r="C19" s="426"/>
      <c r="D19" s="426"/>
      <c r="E19" s="426"/>
      <c r="F19" s="50"/>
      <c r="G19" s="51"/>
    </row>
    <row r="20" spans="1:8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8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8" s="24" customFormat="1" ht="24">
      <c r="A22" s="18"/>
      <c r="B22" s="19"/>
      <c r="C22" s="147" t="s">
        <v>310</v>
      </c>
      <c r="D22" s="20"/>
      <c r="E22" s="21"/>
      <c r="F22" s="22"/>
      <c r="G22" s="23"/>
    </row>
    <row r="23" spans="1:8" s="151" customFormat="1" ht="24">
      <c r="A23" s="125" t="s">
        <v>202</v>
      </c>
      <c r="B23" s="125" t="s">
        <v>203</v>
      </c>
      <c r="C23" s="127" t="s">
        <v>204</v>
      </c>
      <c r="D23" s="129" t="s">
        <v>14</v>
      </c>
      <c r="E23" s="150">
        <f>16440/100*0.3</f>
        <v>49.32</v>
      </c>
      <c r="F23" s="131">
        <v>1001.35</v>
      </c>
      <c r="G23" s="16">
        <f t="shared" ref="G23:G28" si="0">E23*F23</f>
        <v>49386.58</v>
      </c>
      <c r="H23" s="151" t="s">
        <v>165</v>
      </c>
    </row>
    <row r="24" spans="1:8" s="151" customFormat="1" ht="36">
      <c r="A24" s="125" t="s">
        <v>205</v>
      </c>
      <c r="B24" s="125" t="s">
        <v>206</v>
      </c>
      <c r="C24" s="127" t="s">
        <v>207</v>
      </c>
      <c r="D24" s="129" t="s">
        <v>208</v>
      </c>
      <c r="E24" s="150">
        <v>0.3</v>
      </c>
      <c r="F24" s="131">
        <v>1076.46</v>
      </c>
      <c r="G24" s="16">
        <f t="shared" si="0"/>
        <v>322.94</v>
      </c>
      <c r="H24" s="151" t="s">
        <v>165</v>
      </c>
    </row>
    <row r="25" spans="1:8" s="151" customFormat="1" ht="36">
      <c r="A25" s="125" t="s">
        <v>209</v>
      </c>
      <c r="B25" s="125" t="s">
        <v>210</v>
      </c>
      <c r="C25" s="127" t="s">
        <v>211</v>
      </c>
      <c r="D25" s="129" t="s">
        <v>212</v>
      </c>
      <c r="E25" s="150">
        <v>0.5</v>
      </c>
      <c r="F25" s="131">
        <v>7090.58</v>
      </c>
      <c r="G25" s="16">
        <f t="shared" si="0"/>
        <v>3545.29</v>
      </c>
      <c r="H25" s="151" t="s">
        <v>165</v>
      </c>
    </row>
    <row r="26" spans="1:8" s="151" customFormat="1">
      <c r="A26" s="125" t="s">
        <v>213</v>
      </c>
      <c r="B26" s="125" t="s">
        <v>214</v>
      </c>
      <c r="C26" s="127" t="s">
        <v>215</v>
      </c>
      <c r="D26" s="129" t="s">
        <v>216</v>
      </c>
      <c r="E26" s="150">
        <v>60</v>
      </c>
      <c r="F26" s="131">
        <v>197.18</v>
      </c>
      <c r="G26" s="16">
        <f t="shared" si="0"/>
        <v>11830.8</v>
      </c>
      <c r="H26" s="151" t="s">
        <v>165</v>
      </c>
    </row>
    <row r="27" spans="1:8" s="151" customFormat="1">
      <c r="A27" s="125" t="s">
        <v>217</v>
      </c>
      <c r="B27" s="125" t="s">
        <v>218</v>
      </c>
      <c r="C27" s="127" t="s">
        <v>219</v>
      </c>
      <c r="D27" s="129" t="s">
        <v>220</v>
      </c>
      <c r="E27" s="150">
        <f>620/100</f>
        <v>6.2</v>
      </c>
      <c r="F27" s="131">
        <v>5130.9399999999996</v>
      </c>
      <c r="G27" s="16">
        <f t="shared" si="0"/>
        <v>31811.83</v>
      </c>
      <c r="H27" s="151" t="s">
        <v>165</v>
      </c>
    </row>
    <row r="28" spans="1:8" s="151" customFormat="1" ht="36">
      <c r="A28" s="125" t="s">
        <v>221</v>
      </c>
      <c r="B28" s="152" t="s">
        <v>222</v>
      </c>
      <c r="C28" s="9" t="s">
        <v>223</v>
      </c>
      <c r="D28" s="13" t="s">
        <v>224</v>
      </c>
      <c r="E28" s="13">
        <v>408</v>
      </c>
      <c r="F28" s="153">
        <v>195.08</v>
      </c>
      <c r="G28" s="16">
        <f t="shared" si="0"/>
        <v>79592.639999999999</v>
      </c>
      <c r="H28" s="151" t="s">
        <v>165</v>
      </c>
    </row>
    <row r="29" spans="1:8" s="117" customFormat="1">
      <c r="A29" s="118"/>
      <c r="B29" s="119"/>
      <c r="C29" s="120" t="s">
        <v>167</v>
      </c>
      <c r="D29" s="121"/>
      <c r="E29" s="122"/>
      <c r="F29" s="123"/>
      <c r="G29" s="124">
        <f>SUM(G23:G28)</f>
        <v>176490.08</v>
      </c>
    </row>
    <row r="30" spans="1:8" s="151" customFormat="1" ht="24">
      <c r="A30" s="125">
        <v>26</v>
      </c>
      <c r="B30" s="125" t="s">
        <v>316</v>
      </c>
      <c r="C30" s="127" t="s">
        <v>317</v>
      </c>
      <c r="D30" s="159" t="s">
        <v>318</v>
      </c>
      <c r="E30" s="150">
        <v>12.455</v>
      </c>
      <c r="F30" s="131">
        <v>2731.17</v>
      </c>
      <c r="G30" s="16">
        <f t="shared" ref="G30:G40" si="1">E30*F30</f>
        <v>34016.720000000001</v>
      </c>
      <c r="H30" s="151" t="s">
        <v>313</v>
      </c>
    </row>
    <row r="31" spans="1:8" s="151" customFormat="1" ht="33.75">
      <c r="A31" s="125">
        <v>35</v>
      </c>
      <c r="B31" s="125" t="s">
        <v>319</v>
      </c>
      <c r="C31" s="127" t="s">
        <v>320</v>
      </c>
      <c r="D31" s="159" t="s">
        <v>321</v>
      </c>
      <c r="E31" s="150">
        <v>62</v>
      </c>
      <c r="F31" s="131">
        <v>1282.56</v>
      </c>
      <c r="G31" s="16">
        <f t="shared" si="1"/>
        <v>79518.720000000001</v>
      </c>
      <c r="H31" s="151" t="s">
        <v>313</v>
      </c>
    </row>
    <row r="32" spans="1:8" s="151" customFormat="1" ht="33.75">
      <c r="A32" s="125">
        <v>36</v>
      </c>
      <c r="B32" s="125" t="s">
        <v>322</v>
      </c>
      <c r="C32" s="127" t="s">
        <v>323</v>
      </c>
      <c r="D32" s="159" t="s">
        <v>321</v>
      </c>
      <c r="E32" s="150">
        <v>62</v>
      </c>
      <c r="F32" s="131">
        <v>772.12</v>
      </c>
      <c r="G32" s="16">
        <f t="shared" si="1"/>
        <v>47871.44</v>
      </c>
      <c r="H32" s="151" t="s">
        <v>313</v>
      </c>
    </row>
    <row r="33" spans="1:9" s="151" customFormat="1" ht="24">
      <c r="A33" s="125">
        <v>37</v>
      </c>
      <c r="B33" s="125" t="s">
        <v>324</v>
      </c>
      <c r="C33" s="127" t="s">
        <v>325</v>
      </c>
      <c r="D33" s="159" t="s">
        <v>326</v>
      </c>
      <c r="E33" s="150">
        <f>61500/100</f>
        <v>615</v>
      </c>
      <c r="F33" s="131">
        <v>260.39</v>
      </c>
      <c r="G33" s="16">
        <f t="shared" si="1"/>
        <v>160139.85</v>
      </c>
      <c r="H33" s="151" t="s">
        <v>313</v>
      </c>
    </row>
    <row r="34" spans="1:9" s="151" customFormat="1" ht="33.75">
      <c r="A34" s="125">
        <v>38</v>
      </c>
      <c r="B34" s="125" t="s">
        <v>327</v>
      </c>
      <c r="C34" s="127" t="s">
        <v>328</v>
      </c>
      <c r="D34" s="159" t="s">
        <v>329</v>
      </c>
      <c r="E34" s="150">
        <v>12</v>
      </c>
      <c r="F34" s="131">
        <v>1318.44</v>
      </c>
      <c r="G34" s="16">
        <f t="shared" si="1"/>
        <v>15821.28</v>
      </c>
      <c r="H34" s="151" t="s">
        <v>313</v>
      </c>
    </row>
    <row r="35" spans="1:9" s="151" customFormat="1" ht="45">
      <c r="A35" s="125">
        <v>39</v>
      </c>
      <c r="B35" s="125" t="s">
        <v>330</v>
      </c>
      <c r="C35" s="127" t="s">
        <v>331</v>
      </c>
      <c r="D35" s="159" t="s">
        <v>332</v>
      </c>
      <c r="E35" s="150">
        <f>9*5.8</f>
        <v>52.2</v>
      </c>
      <c r="F35" s="131">
        <v>375.48</v>
      </c>
      <c r="G35" s="16">
        <f t="shared" si="1"/>
        <v>19600.060000000001</v>
      </c>
      <c r="H35" s="151" t="s">
        <v>313</v>
      </c>
    </row>
    <row r="36" spans="1:9" s="151" customFormat="1" ht="36">
      <c r="A36" s="125">
        <v>40</v>
      </c>
      <c r="B36" s="125" t="s">
        <v>333</v>
      </c>
      <c r="C36" s="127" t="s">
        <v>334</v>
      </c>
      <c r="D36" s="159" t="s">
        <v>14</v>
      </c>
      <c r="E36" s="150">
        <v>62</v>
      </c>
      <c r="F36" s="131">
        <v>663.67</v>
      </c>
      <c r="G36" s="16">
        <f t="shared" si="1"/>
        <v>41147.54</v>
      </c>
      <c r="H36" s="151" t="s">
        <v>313</v>
      </c>
    </row>
    <row r="37" spans="1:9" s="151" customFormat="1" ht="36">
      <c r="A37" s="125" t="s">
        <v>205</v>
      </c>
      <c r="B37" s="125" t="s">
        <v>206</v>
      </c>
      <c r="C37" s="127" t="s">
        <v>207</v>
      </c>
      <c r="D37" s="129" t="s">
        <v>208</v>
      </c>
      <c r="E37" s="150">
        <v>0.23</v>
      </c>
      <c r="F37" s="131">
        <v>1076.46</v>
      </c>
      <c r="G37" s="16">
        <f t="shared" si="1"/>
        <v>247.59</v>
      </c>
      <c r="H37" s="151" t="s">
        <v>313</v>
      </c>
    </row>
    <row r="38" spans="1:9" s="151" customFormat="1">
      <c r="A38" s="125" t="s">
        <v>213</v>
      </c>
      <c r="B38" s="125" t="s">
        <v>214</v>
      </c>
      <c r="C38" s="127" t="s">
        <v>215</v>
      </c>
      <c r="D38" s="129" t="s">
        <v>216</v>
      </c>
      <c r="E38" s="150">
        <v>60</v>
      </c>
      <c r="F38" s="131">
        <v>197.18</v>
      </c>
      <c r="G38" s="16">
        <f t="shared" si="1"/>
        <v>11830.8</v>
      </c>
      <c r="H38" s="151" t="s">
        <v>313</v>
      </c>
    </row>
    <row r="39" spans="1:9" s="151" customFormat="1">
      <c r="A39" s="125" t="s">
        <v>217</v>
      </c>
      <c r="B39" s="125" t="s">
        <v>218</v>
      </c>
      <c r="C39" s="127" t="s">
        <v>219</v>
      </c>
      <c r="D39" s="129" t="s">
        <v>220</v>
      </c>
      <c r="E39" s="150">
        <v>6.2</v>
      </c>
      <c r="F39" s="131">
        <v>5130.9399999999996</v>
      </c>
      <c r="G39" s="16">
        <f t="shared" si="1"/>
        <v>31811.83</v>
      </c>
      <c r="H39" s="151" t="s">
        <v>313</v>
      </c>
    </row>
    <row r="40" spans="1:9" s="151" customFormat="1" ht="36">
      <c r="A40" s="125" t="s">
        <v>221</v>
      </c>
      <c r="B40" s="152" t="s">
        <v>222</v>
      </c>
      <c r="C40" s="9" t="s">
        <v>335</v>
      </c>
      <c r="D40" s="13" t="s">
        <v>224</v>
      </c>
      <c r="E40" s="13">
        <f>2*160</f>
        <v>320</v>
      </c>
      <c r="F40" s="153">
        <v>195.08</v>
      </c>
      <c r="G40" s="16">
        <f t="shared" si="1"/>
        <v>62425.599999999999</v>
      </c>
      <c r="H40" s="151" t="s">
        <v>313</v>
      </c>
    </row>
    <row r="41" spans="1:9" s="117" customFormat="1">
      <c r="A41" s="118"/>
      <c r="B41" s="119"/>
      <c r="C41" s="120" t="s">
        <v>315</v>
      </c>
      <c r="D41" s="121"/>
      <c r="E41" s="122"/>
      <c r="F41" s="123"/>
      <c r="G41" s="124">
        <f>SUM(G30:G40)</f>
        <v>504431.43</v>
      </c>
    </row>
    <row r="42" spans="1:9" s="151" customFormat="1" ht="24">
      <c r="A42" s="125">
        <v>26</v>
      </c>
      <c r="B42" s="125" t="s">
        <v>316</v>
      </c>
      <c r="C42" s="127" t="s">
        <v>317</v>
      </c>
      <c r="D42" s="159" t="s">
        <v>318</v>
      </c>
      <c r="E42" s="150">
        <v>0.2</v>
      </c>
      <c r="F42" s="131">
        <v>2731.17</v>
      </c>
      <c r="G42" s="16">
        <f t="shared" ref="G42:G54" si="2">E42*F42</f>
        <v>546.23</v>
      </c>
      <c r="H42" s="151" t="s">
        <v>371</v>
      </c>
    </row>
    <row r="43" spans="1:9" s="151" customFormat="1" ht="45">
      <c r="A43" s="125">
        <v>33</v>
      </c>
      <c r="B43" s="125" t="s">
        <v>373</v>
      </c>
      <c r="C43" s="127" t="s">
        <v>374</v>
      </c>
      <c r="D43" s="159" t="s">
        <v>375</v>
      </c>
      <c r="E43" s="150">
        <v>1</v>
      </c>
      <c r="F43" s="131">
        <v>28228.73</v>
      </c>
      <c r="G43" s="16">
        <f t="shared" si="2"/>
        <v>28228.73</v>
      </c>
      <c r="H43" s="151" t="s">
        <v>371</v>
      </c>
    </row>
    <row r="44" spans="1:9" s="151" customFormat="1" ht="33.75">
      <c r="A44" s="125">
        <v>35</v>
      </c>
      <c r="B44" s="125" t="s">
        <v>319</v>
      </c>
      <c r="C44" s="127" t="s">
        <v>320</v>
      </c>
      <c r="D44" s="159" t="s">
        <v>321</v>
      </c>
      <c r="E44" s="150">
        <v>62</v>
      </c>
      <c r="F44" s="131">
        <v>1282.56</v>
      </c>
      <c r="G44" s="16">
        <f t="shared" si="2"/>
        <v>79518.720000000001</v>
      </c>
      <c r="H44" s="151" t="s">
        <v>371</v>
      </c>
    </row>
    <row r="45" spans="1:9" s="151" customFormat="1" ht="33.75">
      <c r="A45" s="125">
        <v>36</v>
      </c>
      <c r="B45" s="125" t="s">
        <v>322</v>
      </c>
      <c r="C45" s="127" t="s">
        <v>323</v>
      </c>
      <c r="D45" s="159" t="s">
        <v>321</v>
      </c>
      <c r="E45" s="150">
        <f>62*2</f>
        <v>124</v>
      </c>
      <c r="F45" s="131">
        <v>772.12</v>
      </c>
      <c r="G45" s="16">
        <f t="shared" si="2"/>
        <v>95742.88</v>
      </c>
      <c r="H45" s="151" t="s">
        <v>371</v>
      </c>
    </row>
    <row r="46" spans="1:9" s="151" customFormat="1" ht="24">
      <c r="A46" s="125">
        <v>37</v>
      </c>
      <c r="B46" s="125" t="s">
        <v>324</v>
      </c>
      <c r="C46" s="127" t="s">
        <v>325</v>
      </c>
      <c r="D46" s="159" t="s">
        <v>326</v>
      </c>
      <c r="E46" s="150">
        <f>66000/100</f>
        <v>660</v>
      </c>
      <c r="F46" s="131">
        <v>260.39</v>
      </c>
      <c r="G46" s="16">
        <f t="shared" si="2"/>
        <v>171857.4</v>
      </c>
      <c r="H46" s="151" t="s">
        <v>371</v>
      </c>
    </row>
    <row r="47" spans="1:9" s="151" customFormat="1" ht="33.75">
      <c r="A47" s="125">
        <v>38</v>
      </c>
      <c r="B47" s="125" t="s">
        <v>327</v>
      </c>
      <c r="C47" s="127" t="s">
        <v>328</v>
      </c>
      <c r="D47" s="159" t="s">
        <v>329</v>
      </c>
      <c r="E47" s="150">
        <v>45</v>
      </c>
      <c r="F47" s="131">
        <v>1318.44</v>
      </c>
      <c r="G47" s="16">
        <f t="shared" si="2"/>
        <v>59329.8</v>
      </c>
      <c r="H47" s="151" t="s">
        <v>371</v>
      </c>
      <c r="I47" s="163"/>
    </row>
    <row r="48" spans="1:9" s="151" customFormat="1" ht="45">
      <c r="A48" s="125">
        <v>39</v>
      </c>
      <c r="B48" s="154" t="s">
        <v>376</v>
      </c>
      <c r="C48" s="127" t="s">
        <v>377</v>
      </c>
      <c r="D48" s="159" t="s">
        <v>332</v>
      </c>
      <c r="E48" s="150">
        <v>198</v>
      </c>
      <c r="F48" s="131">
        <v>358.52</v>
      </c>
      <c r="G48" s="16">
        <f t="shared" si="2"/>
        <v>70986.960000000006</v>
      </c>
      <c r="H48" s="151" t="s">
        <v>371</v>
      </c>
    </row>
    <row r="49" spans="1:9" s="151" customFormat="1">
      <c r="A49" s="125"/>
      <c r="B49" s="157" t="s">
        <v>278</v>
      </c>
      <c r="C49" s="127" t="s">
        <v>378</v>
      </c>
      <c r="D49" s="159" t="s">
        <v>379</v>
      </c>
      <c r="E49" s="150">
        <v>198</v>
      </c>
      <c r="F49" s="131">
        <v>38.520000000000003</v>
      </c>
      <c r="G49" s="16">
        <f t="shared" si="2"/>
        <v>7626.96</v>
      </c>
      <c r="H49" s="151" t="s">
        <v>371</v>
      </c>
    </row>
    <row r="50" spans="1:9" s="151" customFormat="1" ht="24">
      <c r="A50" s="125">
        <v>42</v>
      </c>
      <c r="B50" s="125" t="s">
        <v>380</v>
      </c>
      <c r="C50" s="127" t="s">
        <v>381</v>
      </c>
      <c r="D50" s="159" t="s">
        <v>4</v>
      </c>
      <c r="E50" s="150">
        <v>1</v>
      </c>
      <c r="F50" s="131">
        <v>984.18</v>
      </c>
      <c r="G50" s="16">
        <f t="shared" si="2"/>
        <v>984.18</v>
      </c>
      <c r="H50" s="151" t="s">
        <v>371</v>
      </c>
    </row>
    <row r="51" spans="1:9" ht="24">
      <c r="A51" s="132">
        <v>24</v>
      </c>
      <c r="B51" s="9" t="s">
        <v>382</v>
      </c>
      <c r="C51" s="9" t="s">
        <v>383</v>
      </c>
      <c r="D51" s="132" t="s">
        <v>384</v>
      </c>
      <c r="E51" s="13">
        <v>19</v>
      </c>
      <c r="F51" s="15">
        <v>2153.59</v>
      </c>
      <c r="G51" s="16">
        <f t="shared" si="2"/>
        <v>40918.21</v>
      </c>
      <c r="H51" s="151" t="s">
        <v>371</v>
      </c>
      <c r="I51" s="164"/>
    </row>
    <row r="52" spans="1:9" s="151" customFormat="1" ht="48">
      <c r="A52" s="125" t="s">
        <v>221</v>
      </c>
      <c r="B52" s="152" t="s">
        <v>222</v>
      </c>
      <c r="C52" s="9" t="s">
        <v>385</v>
      </c>
      <c r="D52" s="13" t="s">
        <v>224</v>
      </c>
      <c r="E52" s="13">
        <f>159*4</f>
        <v>636</v>
      </c>
      <c r="F52" s="153">
        <v>195.08</v>
      </c>
      <c r="G52" s="16">
        <f t="shared" si="2"/>
        <v>124070.88</v>
      </c>
      <c r="H52" s="151" t="s">
        <v>371</v>
      </c>
    </row>
    <row r="53" spans="1:9" s="151" customFormat="1">
      <c r="A53" s="125"/>
      <c r="B53" s="157" t="s">
        <v>278</v>
      </c>
      <c r="C53" s="127" t="s">
        <v>386</v>
      </c>
      <c r="D53" s="159" t="s">
        <v>379</v>
      </c>
      <c r="E53" s="150">
        <v>19</v>
      </c>
      <c r="F53" s="131">
        <v>38.520000000000003</v>
      </c>
      <c r="G53" s="16">
        <f t="shared" si="2"/>
        <v>731.88</v>
      </c>
      <c r="H53" s="151" t="s">
        <v>371</v>
      </c>
    </row>
    <row r="54" spans="1:9" s="151" customFormat="1" ht="24">
      <c r="A54" s="125" t="s">
        <v>221</v>
      </c>
      <c r="B54" s="152" t="s">
        <v>222</v>
      </c>
      <c r="C54" s="9" t="s">
        <v>387</v>
      </c>
      <c r="D54" s="13" t="s">
        <v>224</v>
      </c>
      <c r="E54" s="13">
        <f>159*4</f>
        <v>636</v>
      </c>
      <c r="F54" s="153">
        <v>195.08</v>
      </c>
      <c r="G54" s="16">
        <f t="shared" si="2"/>
        <v>124070.88</v>
      </c>
      <c r="H54" s="151" t="s">
        <v>371</v>
      </c>
    </row>
    <row r="55" spans="1:9" s="117" customFormat="1">
      <c r="A55" s="118"/>
      <c r="B55" s="119"/>
      <c r="C55" s="120" t="s">
        <v>372</v>
      </c>
      <c r="D55" s="121"/>
      <c r="E55" s="122"/>
      <c r="F55" s="123"/>
      <c r="G55" s="124">
        <f>SUM(G42:G54)</f>
        <v>804613.71</v>
      </c>
      <c r="I55" s="165"/>
    </row>
    <row r="56" spans="1:9" s="182" customFormat="1" ht="24">
      <c r="A56" s="177" t="s">
        <v>45</v>
      </c>
      <c r="B56" s="177" t="s">
        <v>316</v>
      </c>
      <c r="C56" s="178" t="s">
        <v>317</v>
      </c>
      <c r="D56" s="179" t="s">
        <v>318</v>
      </c>
      <c r="E56" s="180">
        <v>0.2</v>
      </c>
      <c r="F56" s="181">
        <v>2731.17</v>
      </c>
      <c r="G56" s="114">
        <f t="shared" ref="G56:G75" si="3">E56*F56</f>
        <v>546.23</v>
      </c>
      <c r="H56" s="182" t="s">
        <v>400</v>
      </c>
    </row>
    <row r="57" spans="1:9" s="182" customFormat="1" ht="45">
      <c r="A57" s="177" t="s">
        <v>147</v>
      </c>
      <c r="B57" s="177" t="s">
        <v>373</v>
      </c>
      <c r="C57" s="178" t="s">
        <v>374</v>
      </c>
      <c r="D57" s="179" t="s">
        <v>375</v>
      </c>
      <c r="E57" s="180">
        <v>5</v>
      </c>
      <c r="F57" s="181">
        <v>28228.73</v>
      </c>
      <c r="G57" s="114">
        <f t="shared" si="3"/>
        <v>141143.65</v>
      </c>
      <c r="H57" s="182" t="s">
        <v>400</v>
      </c>
    </row>
    <row r="58" spans="1:9" s="182" customFormat="1" ht="33.75">
      <c r="A58" s="177" t="s">
        <v>148</v>
      </c>
      <c r="B58" s="177" t="s">
        <v>319</v>
      </c>
      <c r="C58" s="178" t="s">
        <v>320</v>
      </c>
      <c r="D58" s="179" t="s">
        <v>321</v>
      </c>
      <c r="E58" s="180">
        <v>62</v>
      </c>
      <c r="F58" s="181">
        <v>1282.56</v>
      </c>
      <c r="G58" s="114">
        <f t="shared" si="3"/>
        <v>79518.720000000001</v>
      </c>
      <c r="H58" s="182" t="s">
        <v>400</v>
      </c>
    </row>
    <row r="59" spans="1:9" s="182" customFormat="1" ht="33.75">
      <c r="A59" s="177" t="s">
        <v>152</v>
      </c>
      <c r="B59" s="177" t="s">
        <v>322</v>
      </c>
      <c r="C59" s="178" t="s">
        <v>323</v>
      </c>
      <c r="D59" s="179" t="s">
        <v>321</v>
      </c>
      <c r="E59" s="180">
        <f>62*2</f>
        <v>124</v>
      </c>
      <c r="F59" s="181">
        <v>772.12</v>
      </c>
      <c r="G59" s="114">
        <f t="shared" si="3"/>
        <v>95742.88</v>
      </c>
      <c r="H59" s="182" t="s">
        <v>400</v>
      </c>
    </row>
    <row r="60" spans="1:9" s="182" customFormat="1" ht="24">
      <c r="A60" s="177" t="s">
        <v>153</v>
      </c>
      <c r="B60" s="177" t="s">
        <v>324</v>
      </c>
      <c r="C60" s="178" t="s">
        <v>325</v>
      </c>
      <c r="D60" s="179" t="s">
        <v>326</v>
      </c>
      <c r="E60" s="180">
        <v>1580</v>
      </c>
      <c r="F60" s="181">
        <v>260.39</v>
      </c>
      <c r="G60" s="114">
        <f t="shared" si="3"/>
        <v>411416.2</v>
      </c>
      <c r="H60" s="182" t="s">
        <v>400</v>
      </c>
    </row>
    <row r="61" spans="1:9" s="182" customFormat="1" ht="33.75">
      <c r="A61" s="177" t="s">
        <v>156</v>
      </c>
      <c r="B61" s="177" t="s">
        <v>327</v>
      </c>
      <c r="C61" s="178" t="s">
        <v>328</v>
      </c>
      <c r="D61" s="179" t="s">
        <v>329</v>
      </c>
      <c r="E61" s="180">
        <v>25</v>
      </c>
      <c r="F61" s="181">
        <v>1318.44</v>
      </c>
      <c r="G61" s="114">
        <f t="shared" si="3"/>
        <v>32961</v>
      </c>
      <c r="H61" s="182" t="s">
        <v>400</v>
      </c>
    </row>
    <row r="62" spans="1:9" s="182" customFormat="1" ht="45">
      <c r="A62" s="177" t="s">
        <v>159</v>
      </c>
      <c r="B62" s="183" t="s">
        <v>376</v>
      </c>
      <c r="C62" s="178" t="s">
        <v>377</v>
      </c>
      <c r="D62" s="179" t="s">
        <v>332</v>
      </c>
      <c r="E62" s="180">
        <v>102</v>
      </c>
      <c r="F62" s="181">
        <v>358.52</v>
      </c>
      <c r="G62" s="114">
        <f t="shared" si="3"/>
        <v>36569.040000000001</v>
      </c>
      <c r="H62" s="182" t="s">
        <v>400</v>
      </c>
    </row>
    <row r="63" spans="1:9" s="182" customFormat="1">
      <c r="A63" s="177" t="s">
        <v>162</v>
      </c>
      <c r="B63" s="184" t="s">
        <v>278</v>
      </c>
      <c r="C63" s="178" t="s">
        <v>378</v>
      </c>
      <c r="D63" s="179" t="s">
        <v>379</v>
      </c>
      <c r="E63" s="180">
        <v>102</v>
      </c>
      <c r="F63" s="181">
        <v>38.520000000000003</v>
      </c>
      <c r="G63" s="114">
        <f t="shared" si="3"/>
        <v>3929.04</v>
      </c>
      <c r="H63" s="182" t="s">
        <v>400</v>
      </c>
    </row>
    <row r="64" spans="1:9" s="182" customFormat="1" ht="24">
      <c r="A64" s="177" t="s">
        <v>173</v>
      </c>
      <c r="B64" s="177" t="s">
        <v>380</v>
      </c>
      <c r="C64" s="178" t="s">
        <v>381</v>
      </c>
      <c r="D64" s="179" t="s">
        <v>4</v>
      </c>
      <c r="E64" s="180">
        <v>1</v>
      </c>
      <c r="F64" s="181">
        <v>984.18</v>
      </c>
      <c r="G64" s="114">
        <f t="shared" si="3"/>
        <v>984.18</v>
      </c>
      <c r="H64" s="182" t="s">
        <v>400</v>
      </c>
    </row>
    <row r="65" spans="1:8" s="182" customFormat="1" ht="19.899999999999999" customHeight="1">
      <c r="A65" s="177"/>
      <c r="B65" s="185"/>
      <c r="C65" s="183" t="s">
        <v>402</v>
      </c>
      <c r="D65" s="185"/>
      <c r="E65" s="186"/>
      <c r="F65" s="187"/>
      <c r="G65" s="114"/>
      <c r="H65" s="182" t="s">
        <v>400</v>
      </c>
    </row>
    <row r="66" spans="1:8" s="182" customFormat="1" ht="36">
      <c r="A66" s="177" t="s">
        <v>177</v>
      </c>
      <c r="B66" s="177" t="s">
        <v>403</v>
      </c>
      <c r="C66" s="178" t="s">
        <v>404</v>
      </c>
      <c r="D66" s="179" t="s">
        <v>405</v>
      </c>
      <c r="E66" s="180">
        <f>9*12/100</f>
        <v>1.08</v>
      </c>
      <c r="F66" s="181">
        <v>24150.23</v>
      </c>
      <c r="G66" s="114">
        <f t="shared" si="3"/>
        <v>26082.25</v>
      </c>
      <c r="H66" s="182" t="s">
        <v>400</v>
      </c>
    </row>
    <row r="67" spans="1:8" s="182" customFormat="1" ht="45">
      <c r="A67" s="177" t="s">
        <v>181</v>
      </c>
      <c r="B67" s="177" t="s">
        <v>406</v>
      </c>
      <c r="C67" s="178" t="s">
        <v>407</v>
      </c>
      <c r="D67" s="179" t="s">
        <v>408</v>
      </c>
      <c r="E67" s="180">
        <f>40*3/100</f>
        <v>1.2</v>
      </c>
      <c r="F67" s="181">
        <v>9322.31</v>
      </c>
      <c r="G67" s="114">
        <f t="shared" si="3"/>
        <v>11186.77</v>
      </c>
      <c r="H67" s="182" t="s">
        <v>400</v>
      </c>
    </row>
    <row r="68" spans="1:8" s="182" customFormat="1" ht="24">
      <c r="A68" s="177" t="s">
        <v>185</v>
      </c>
      <c r="B68" s="177" t="s">
        <v>409</v>
      </c>
      <c r="C68" s="178" t="s">
        <v>410</v>
      </c>
      <c r="D68" s="179" t="s">
        <v>379</v>
      </c>
      <c r="E68" s="180">
        <v>108</v>
      </c>
      <c r="F68" s="181">
        <v>540.79</v>
      </c>
      <c r="G68" s="114">
        <f t="shared" si="3"/>
        <v>58405.32</v>
      </c>
      <c r="H68" s="182" t="s">
        <v>400</v>
      </c>
    </row>
    <row r="69" spans="1:8" s="182" customFormat="1">
      <c r="A69" s="177" t="s">
        <v>188</v>
      </c>
      <c r="B69" s="177" t="s">
        <v>411</v>
      </c>
      <c r="C69" s="178" t="s">
        <v>412</v>
      </c>
      <c r="D69" s="179" t="s">
        <v>220</v>
      </c>
      <c r="E69" s="180">
        <v>0.2</v>
      </c>
      <c r="F69" s="181">
        <v>37334.42</v>
      </c>
      <c r="G69" s="114">
        <f t="shared" si="3"/>
        <v>7466.88</v>
      </c>
      <c r="H69" s="182" t="s">
        <v>400</v>
      </c>
    </row>
    <row r="70" spans="1:8" s="182" customFormat="1" ht="24">
      <c r="A70" s="177" t="s">
        <v>413</v>
      </c>
      <c r="B70" s="177" t="s">
        <v>414</v>
      </c>
      <c r="C70" s="178" t="s">
        <v>415</v>
      </c>
      <c r="D70" s="188" t="s">
        <v>416</v>
      </c>
      <c r="E70" s="180">
        <v>20</v>
      </c>
      <c r="F70" s="181">
        <v>371.2</v>
      </c>
      <c r="G70" s="114">
        <f t="shared" si="3"/>
        <v>7424</v>
      </c>
      <c r="H70" s="182" t="s">
        <v>400</v>
      </c>
    </row>
    <row r="71" spans="1:8" s="182" customFormat="1" ht="24">
      <c r="A71" s="177" t="s">
        <v>120</v>
      </c>
      <c r="B71" s="177" t="s">
        <v>417</v>
      </c>
      <c r="C71" s="178" t="s">
        <v>418</v>
      </c>
      <c r="D71" s="188" t="s">
        <v>14</v>
      </c>
      <c r="E71" s="180">
        <v>0.05</v>
      </c>
      <c r="F71" s="181">
        <v>20761.82</v>
      </c>
      <c r="G71" s="114">
        <f t="shared" si="3"/>
        <v>1038.0899999999999</v>
      </c>
      <c r="H71" s="182" t="s">
        <v>400</v>
      </c>
    </row>
    <row r="72" spans="1:8" s="115" customFormat="1" ht="24">
      <c r="A72" s="177" t="s">
        <v>122</v>
      </c>
      <c r="B72" s="110" t="s">
        <v>382</v>
      </c>
      <c r="C72" s="110" t="s">
        <v>419</v>
      </c>
      <c r="D72" s="166" t="s">
        <v>384</v>
      </c>
      <c r="E72" s="111">
        <v>24</v>
      </c>
      <c r="F72" s="112">
        <v>2153.59</v>
      </c>
      <c r="G72" s="114">
        <f t="shared" si="3"/>
        <v>51686.16</v>
      </c>
      <c r="H72" s="182" t="s">
        <v>400</v>
      </c>
    </row>
    <row r="73" spans="1:8" s="182" customFormat="1" ht="36">
      <c r="A73" s="177" t="s">
        <v>420</v>
      </c>
      <c r="B73" s="189" t="s">
        <v>222</v>
      </c>
      <c r="C73" s="110" t="s">
        <v>335</v>
      </c>
      <c r="D73" s="111" t="s">
        <v>224</v>
      </c>
      <c r="E73" s="111">
        <f>176*3</f>
        <v>528</v>
      </c>
      <c r="F73" s="190">
        <v>195.08</v>
      </c>
      <c r="G73" s="114">
        <f t="shared" si="3"/>
        <v>103002.24000000001</v>
      </c>
      <c r="H73" s="182" t="s">
        <v>400</v>
      </c>
    </row>
    <row r="74" spans="1:8" s="182" customFormat="1">
      <c r="A74" s="177" t="s">
        <v>421</v>
      </c>
      <c r="B74" s="184" t="s">
        <v>278</v>
      </c>
      <c r="C74" s="178" t="s">
        <v>386</v>
      </c>
      <c r="D74" s="179" t="s">
        <v>379</v>
      </c>
      <c r="E74" s="180">
        <v>4</v>
      </c>
      <c r="F74" s="181">
        <v>38.520000000000003</v>
      </c>
      <c r="G74" s="114">
        <f t="shared" si="3"/>
        <v>154.08000000000001</v>
      </c>
      <c r="H74" s="182" t="s">
        <v>400</v>
      </c>
    </row>
    <row r="75" spans="1:8" s="182" customFormat="1" ht="24">
      <c r="A75" s="177" t="s">
        <v>422</v>
      </c>
      <c r="B75" s="189" t="s">
        <v>222</v>
      </c>
      <c r="C75" s="110" t="s">
        <v>387</v>
      </c>
      <c r="D75" s="111" t="s">
        <v>224</v>
      </c>
      <c r="E75" s="111">
        <f>176*4</f>
        <v>704</v>
      </c>
      <c r="F75" s="190">
        <v>195.08</v>
      </c>
      <c r="G75" s="114">
        <f t="shared" si="3"/>
        <v>137336.32000000001</v>
      </c>
      <c r="H75" s="182" t="s">
        <v>400</v>
      </c>
    </row>
    <row r="76" spans="1:8" s="176" customFormat="1">
      <c r="A76" s="169"/>
      <c r="B76" s="170"/>
      <c r="C76" s="171" t="s">
        <v>401</v>
      </c>
      <c r="D76" s="172"/>
      <c r="E76" s="173"/>
      <c r="F76" s="174"/>
      <c r="G76" s="175">
        <f>SUM(G56:G75)</f>
        <v>1206593.05</v>
      </c>
    </row>
    <row r="77" spans="1:8" s="182" customFormat="1" ht="45">
      <c r="A77" s="177" t="s">
        <v>147</v>
      </c>
      <c r="B77" s="177" t="s">
        <v>373</v>
      </c>
      <c r="C77" s="178" t="s">
        <v>374</v>
      </c>
      <c r="D77" s="179" t="s">
        <v>375</v>
      </c>
      <c r="E77" s="180">
        <v>5</v>
      </c>
      <c r="F77" s="181">
        <v>28228.73</v>
      </c>
      <c r="G77" s="114">
        <f t="shared" ref="G77:G93" si="4">E77*F77</f>
        <v>141143.65</v>
      </c>
      <c r="H77" s="182" t="s">
        <v>476</v>
      </c>
    </row>
    <row r="78" spans="1:8" s="199" customFormat="1" ht="12">
      <c r="A78" s="183"/>
      <c r="B78" s="196" t="s">
        <v>278</v>
      </c>
      <c r="C78" s="110" t="s">
        <v>478</v>
      </c>
      <c r="D78" s="166" t="s">
        <v>273</v>
      </c>
      <c r="E78" s="197">
        <v>20</v>
      </c>
      <c r="F78" s="198"/>
      <c r="G78" s="114">
        <f>210+1150+280+100+1364+280+100+170+80</f>
        <v>3734</v>
      </c>
      <c r="H78" s="199" t="s">
        <v>476</v>
      </c>
    </row>
    <row r="79" spans="1:8" s="182" customFormat="1" ht="33.75">
      <c r="A79" s="177" t="s">
        <v>148</v>
      </c>
      <c r="B79" s="177" t="s">
        <v>319</v>
      </c>
      <c r="C79" s="178" t="s">
        <v>320</v>
      </c>
      <c r="D79" s="179" t="s">
        <v>321</v>
      </c>
      <c r="E79" s="180">
        <v>62</v>
      </c>
      <c r="F79" s="181">
        <v>1282.56</v>
      </c>
      <c r="G79" s="114">
        <f t="shared" si="4"/>
        <v>79518.720000000001</v>
      </c>
      <c r="H79" s="182" t="s">
        <v>476</v>
      </c>
    </row>
    <row r="80" spans="1:8" s="182" customFormat="1" ht="33.75">
      <c r="A80" s="177" t="s">
        <v>152</v>
      </c>
      <c r="B80" s="177" t="s">
        <v>322</v>
      </c>
      <c r="C80" s="178" t="s">
        <v>323</v>
      </c>
      <c r="D80" s="179" t="s">
        <v>321</v>
      </c>
      <c r="E80" s="180">
        <f>62*2</f>
        <v>124</v>
      </c>
      <c r="F80" s="181">
        <v>772.12</v>
      </c>
      <c r="G80" s="114">
        <f t="shared" si="4"/>
        <v>95742.88</v>
      </c>
      <c r="H80" s="199" t="s">
        <v>476</v>
      </c>
    </row>
    <row r="81" spans="1:8" s="182" customFormat="1" ht="24">
      <c r="A81" s="177" t="s">
        <v>153</v>
      </c>
      <c r="B81" s="177" t="s">
        <v>324</v>
      </c>
      <c r="C81" s="178" t="s">
        <v>325</v>
      </c>
      <c r="D81" s="179" t="s">
        <v>326</v>
      </c>
      <c r="E81" s="180">
        <v>1300</v>
      </c>
      <c r="F81" s="181">
        <v>260.39</v>
      </c>
      <c r="G81" s="114">
        <f t="shared" si="4"/>
        <v>338507</v>
      </c>
      <c r="H81" s="182" t="s">
        <v>476</v>
      </c>
    </row>
    <row r="82" spans="1:8" s="182" customFormat="1" ht="33.75">
      <c r="A82" s="177" t="s">
        <v>156</v>
      </c>
      <c r="B82" s="177" t="s">
        <v>327</v>
      </c>
      <c r="C82" s="178" t="s">
        <v>328</v>
      </c>
      <c r="D82" s="179" t="s">
        <v>329</v>
      </c>
      <c r="E82" s="180">
        <v>30</v>
      </c>
      <c r="F82" s="181">
        <v>1318.44</v>
      </c>
      <c r="G82" s="114">
        <f t="shared" si="4"/>
        <v>39553.199999999997</v>
      </c>
      <c r="H82" s="199" t="s">
        <v>476</v>
      </c>
    </row>
    <row r="83" spans="1:8" s="182" customFormat="1" ht="45">
      <c r="A83" s="177" t="s">
        <v>159</v>
      </c>
      <c r="B83" s="183" t="s">
        <v>376</v>
      </c>
      <c r="C83" s="178" t="s">
        <v>377</v>
      </c>
      <c r="D83" s="179" t="s">
        <v>332</v>
      </c>
      <c r="E83" s="180">
        <f>E84</f>
        <v>162</v>
      </c>
      <c r="F83" s="181">
        <v>358.52</v>
      </c>
      <c r="G83" s="114">
        <f t="shared" si="4"/>
        <v>58080.24</v>
      </c>
      <c r="H83" s="182" t="s">
        <v>476</v>
      </c>
    </row>
    <row r="84" spans="1:8" s="182" customFormat="1">
      <c r="A84" s="177" t="s">
        <v>162</v>
      </c>
      <c r="B84" s="184" t="s">
        <v>278</v>
      </c>
      <c r="C84" s="178" t="s">
        <v>378</v>
      </c>
      <c r="D84" s="179" t="s">
        <v>379</v>
      </c>
      <c r="E84" s="180">
        <v>162</v>
      </c>
      <c r="F84" s="181">
        <v>39.299999999999997</v>
      </c>
      <c r="G84" s="114">
        <f t="shared" si="4"/>
        <v>6366.6</v>
      </c>
      <c r="H84" s="199" t="s">
        <v>476</v>
      </c>
    </row>
    <row r="85" spans="1:8" s="182" customFormat="1" ht="24">
      <c r="A85" s="177" t="s">
        <v>173</v>
      </c>
      <c r="B85" s="177" t="s">
        <v>380</v>
      </c>
      <c r="C85" s="178" t="s">
        <v>381</v>
      </c>
      <c r="D85" s="179" t="s">
        <v>4</v>
      </c>
      <c r="E85" s="180">
        <v>1</v>
      </c>
      <c r="F85" s="181">
        <v>984.18</v>
      </c>
      <c r="G85" s="114">
        <f t="shared" si="4"/>
        <v>984.18</v>
      </c>
      <c r="H85" s="182" t="s">
        <v>476</v>
      </c>
    </row>
    <row r="86" spans="1:8" s="182" customFormat="1" ht="19.899999999999999" customHeight="1">
      <c r="A86" s="177"/>
      <c r="B86" s="185"/>
      <c r="C86" s="214" t="s">
        <v>402</v>
      </c>
      <c r="D86" s="185"/>
      <c r="E86" s="186"/>
      <c r="F86" s="187"/>
      <c r="G86" s="114"/>
      <c r="H86" s="199" t="s">
        <v>476</v>
      </c>
    </row>
    <row r="87" spans="1:8" s="182" customFormat="1">
      <c r="A87" s="177"/>
      <c r="B87" s="177" t="s">
        <v>479</v>
      </c>
      <c r="C87" s="178" t="s">
        <v>480</v>
      </c>
      <c r="D87" s="179" t="s">
        <v>216</v>
      </c>
      <c r="E87" s="215">
        <f>1.2*6</f>
        <v>7.2</v>
      </c>
      <c r="F87" s="216">
        <v>2411.61</v>
      </c>
      <c r="G87" s="114">
        <f t="shared" si="4"/>
        <v>17363.59</v>
      </c>
      <c r="H87" s="182" t="s">
        <v>476</v>
      </c>
    </row>
    <row r="88" spans="1:8" s="182" customFormat="1" ht="36">
      <c r="A88" s="177"/>
      <c r="B88" s="189" t="s">
        <v>222</v>
      </c>
      <c r="C88" s="110" t="s">
        <v>335</v>
      </c>
      <c r="D88" s="111" t="s">
        <v>224</v>
      </c>
      <c r="E88" s="111">
        <f>184*3</f>
        <v>552</v>
      </c>
      <c r="F88" s="190">
        <v>195.08</v>
      </c>
      <c r="G88" s="114">
        <f t="shared" si="4"/>
        <v>107684.16</v>
      </c>
      <c r="H88" s="199" t="s">
        <v>476</v>
      </c>
    </row>
    <row r="89" spans="1:8" s="182" customFormat="1">
      <c r="A89" s="177"/>
      <c r="B89" s="184" t="s">
        <v>278</v>
      </c>
      <c r="C89" s="178" t="s">
        <v>386</v>
      </c>
      <c r="D89" s="179" t="s">
        <v>379</v>
      </c>
      <c r="E89" s="180">
        <v>21</v>
      </c>
      <c r="F89" s="181">
        <v>39.299999999999997</v>
      </c>
      <c r="G89" s="114">
        <f t="shared" si="4"/>
        <v>825.3</v>
      </c>
      <c r="H89" s="182" t="s">
        <v>476</v>
      </c>
    </row>
    <row r="90" spans="1:8" s="182" customFormat="1" ht="24">
      <c r="A90" s="177"/>
      <c r="B90" s="189" t="s">
        <v>222</v>
      </c>
      <c r="C90" s="110" t="s">
        <v>387</v>
      </c>
      <c r="D90" s="111" t="s">
        <v>224</v>
      </c>
      <c r="E90" s="111">
        <f>184*4</f>
        <v>736</v>
      </c>
      <c r="F90" s="190">
        <v>195.08</v>
      </c>
      <c r="G90" s="114">
        <f t="shared" si="4"/>
        <v>143578.88</v>
      </c>
      <c r="H90" s="199" t="s">
        <v>476</v>
      </c>
    </row>
    <row r="91" spans="1:8" s="182" customFormat="1" ht="24">
      <c r="A91" s="177"/>
      <c r="B91" s="189"/>
      <c r="C91" s="217" t="s">
        <v>481</v>
      </c>
      <c r="D91" s="111"/>
      <c r="E91" s="111"/>
      <c r="F91" s="190"/>
      <c r="G91" s="218"/>
      <c r="H91" s="182" t="s">
        <v>476</v>
      </c>
    </row>
    <row r="92" spans="1:8" s="219" customFormat="1" ht="24">
      <c r="A92" s="108"/>
      <c r="B92" s="109" t="s">
        <v>482</v>
      </c>
      <c r="C92" s="110" t="s">
        <v>483</v>
      </c>
      <c r="D92" s="111" t="s">
        <v>484</v>
      </c>
      <c r="E92" s="111">
        <v>12</v>
      </c>
      <c r="F92" s="112">
        <v>4006.49</v>
      </c>
      <c r="G92" s="114">
        <f t="shared" si="4"/>
        <v>48077.88</v>
      </c>
      <c r="H92" s="199" t="s">
        <v>476</v>
      </c>
    </row>
    <row r="93" spans="1:8" s="219" customFormat="1">
      <c r="A93" s="108"/>
      <c r="B93" s="184" t="s">
        <v>278</v>
      </c>
      <c r="C93" s="110" t="s">
        <v>485</v>
      </c>
      <c r="D93" s="111" t="s">
        <v>379</v>
      </c>
      <c r="E93" s="111">
        <v>4</v>
      </c>
      <c r="F93" s="112">
        <f>20880/4+4270/4</f>
        <v>6287.5</v>
      </c>
      <c r="G93" s="114">
        <f t="shared" si="4"/>
        <v>25150</v>
      </c>
      <c r="H93" s="182" t="s">
        <v>476</v>
      </c>
    </row>
    <row r="94" spans="1:8" s="176" customFormat="1">
      <c r="A94" s="169"/>
      <c r="B94" s="170"/>
      <c r="C94" s="171" t="s">
        <v>477</v>
      </c>
      <c r="D94" s="172"/>
      <c r="E94" s="173"/>
      <c r="F94" s="174"/>
      <c r="G94" s="175">
        <f>SUM(G77:G93)</f>
        <v>1106310.28</v>
      </c>
    </row>
    <row r="95" spans="1:8" s="182" customFormat="1" ht="45">
      <c r="A95" s="177" t="s">
        <v>45</v>
      </c>
      <c r="B95" s="177" t="s">
        <v>373</v>
      </c>
      <c r="C95" s="178" t="s">
        <v>374</v>
      </c>
      <c r="D95" s="179" t="s">
        <v>375</v>
      </c>
      <c r="E95" s="180">
        <v>5</v>
      </c>
      <c r="F95" s="181">
        <v>28228.73</v>
      </c>
      <c r="G95" s="114">
        <f t="shared" ref="G95:G104" si="5">E95*F95</f>
        <v>141143.65</v>
      </c>
      <c r="H95" s="182" t="s">
        <v>500</v>
      </c>
    </row>
    <row r="96" spans="1:8" s="182" customFormat="1" ht="33.75">
      <c r="A96" s="177" t="s">
        <v>147</v>
      </c>
      <c r="B96" s="177" t="s">
        <v>319</v>
      </c>
      <c r="C96" s="178" t="s">
        <v>320</v>
      </c>
      <c r="D96" s="179" t="s">
        <v>321</v>
      </c>
      <c r="E96" s="180">
        <v>12</v>
      </c>
      <c r="F96" s="181">
        <v>1282.56</v>
      </c>
      <c r="G96" s="114">
        <f t="shared" si="5"/>
        <v>15390.72</v>
      </c>
      <c r="H96" s="182" t="s">
        <v>500</v>
      </c>
    </row>
    <row r="97" spans="1:8" s="182" customFormat="1" ht="33.75">
      <c r="A97" s="177" t="s">
        <v>148</v>
      </c>
      <c r="B97" s="177" t="s">
        <v>322</v>
      </c>
      <c r="C97" s="178" t="s">
        <v>323</v>
      </c>
      <c r="D97" s="179" t="s">
        <v>321</v>
      </c>
      <c r="E97" s="180">
        <v>12</v>
      </c>
      <c r="F97" s="181">
        <v>772.12</v>
      </c>
      <c r="G97" s="114">
        <f t="shared" si="5"/>
        <v>9265.44</v>
      </c>
      <c r="H97" s="182" t="s">
        <v>500</v>
      </c>
    </row>
    <row r="98" spans="1:8" s="182" customFormat="1" ht="24">
      <c r="A98" s="177" t="s">
        <v>152</v>
      </c>
      <c r="B98" s="177" t="s">
        <v>324</v>
      </c>
      <c r="C98" s="178" t="s">
        <v>325</v>
      </c>
      <c r="D98" s="179" t="s">
        <v>326</v>
      </c>
      <c r="E98" s="180">
        <v>590</v>
      </c>
      <c r="F98" s="181">
        <v>260.39</v>
      </c>
      <c r="G98" s="114">
        <f t="shared" si="5"/>
        <v>153630.1</v>
      </c>
      <c r="H98" s="182" t="s">
        <v>500</v>
      </c>
    </row>
    <row r="99" spans="1:8" s="182" customFormat="1" ht="33.75">
      <c r="A99" s="177" t="s">
        <v>153</v>
      </c>
      <c r="B99" s="177" t="s">
        <v>327</v>
      </c>
      <c r="C99" s="178" t="s">
        <v>328</v>
      </c>
      <c r="D99" s="179" t="s">
        <v>329</v>
      </c>
      <c r="E99" s="180">
        <v>13</v>
      </c>
      <c r="F99" s="181">
        <v>1318.44</v>
      </c>
      <c r="G99" s="114">
        <f t="shared" si="5"/>
        <v>17139.72</v>
      </c>
      <c r="H99" s="182" t="s">
        <v>500</v>
      </c>
    </row>
    <row r="100" spans="1:8" s="182" customFormat="1" ht="45">
      <c r="A100" s="177" t="s">
        <v>156</v>
      </c>
      <c r="B100" s="183" t="s">
        <v>376</v>
      </c>
      <c r="C100" s="178" t="s">
        <v>377</v>
      </c>
      <c r="D100" s="179" t="s">
        <v>332</v>
      </c>
      <c r="E100" s="180">
        <v>49</v>
      </c>
      <c r="F100" s="181">
        <v>358.52</v>
      </c>
      <c r="G100" s="114">
        <f t="shared" si="5"/>
        <v>17567.48</v>
      </c>
      <c r="H100" s="182" t="s">
        <v>500</v>
      </c>
    </row>
    <row r="101" spans="1:8" s="182" customFormat="1">
      <c r="A101" s="177" t="s">
        <v>159</v>
      </c>
      <c r="B101" s="184" t="s">
        <v>278</v>
      </c>
      <c r="C101" s="178" t="s">
        <v>378</v>
      </c>
      <c r="D101" s="179" t="s">
        <v>379</v>
      </c>
      <c r="E101" s="180">
        <v>49</v>
      </c>
      <c r="F101" s="181">
        <f>39.3*1.18</f>
        <v>46.374000000000002</v>
      </c>
      <c r="G101" s="114">
        <f t="shared" si="5"/>
        <v>2272.33</v>
      </c>
      <c r="H101" s="182" t="s">
        <v>500</v>
      </c>
    </row>
    <row r="102" spans="1:8" s="182" customFormat="1" ht="36">
      <c r="A102" s="177" t="s">
        <v>162</v>
      </c>
      <c r="B102" s="189" t="s">
        <v>222</v>
      </c>
      <c r="C102" s="110" t="s">
        <v>335</v>
      </c>
      <c r="D102" s="111" t="s">
        <v>224</v>
      </c>
      <c r="E102" s="111">
        <f>160*3</f>
        <v>480</v>
      </c>
      <c r="F102" s="190">
        <v>195.08</v>
      </c>
      <c r="G102" s="114">
        <f t="shared" si="5"/>
        <v>93638.399999999994</v>
      </c>
      <c r="H102" s="182" t="s">
        <v>500</v>
      </c>
    </row>
    <row r="103" spans="1:8" s="182" customFormat="1">
      <c r="A103" s="177" t="s">
        <v>173</v>
      </c>
      <c r="B103" s="184" t="s">
        <v>278</v>
      </c>
      <c r="C103" s="178" t="s">
        <v>386</v>
      </c>
      <c r="D103" s="179" t="s">
        <v>379</v>
      </c>
      <c r="E103" s="180">
        <v>10</v>
      </c>
      <c r="F103" s="181">
        <f>39.3*1.18</f>
        <v>46.374000000000002</v>
      </c>
      <c r="G103" s="114">
        <f t="shared" si="5"/>
        <v>463.74</v>
      </c>
      <c r="H103" s="182" t="s">
        <v>500</v>
      </c>
    </row>
    <row r="104" spans="1:8" s="182" customFormat="1" ht="24">
      <c r="A104" s="177" t="s">
        <v>177</v>
      </c>
      <c r="B104" s="189" t="s">
        <v>222</v>
      </c>
      <c r="C104" s="110" t="s">
        <v>387</v>
      </c>
      <c r="D104" s="111" t="s">
        <v>224</v>
      </c>
      <c r="E104" s="111">
        <f>15*8*4</f>
        <v>480</v>
      </c>
      <c r="F104" s="190">
        <v>195.08</v>
      </c>
      <c r="G104" s="114">
        <f t="shared" si="5"/>
        <v>93638.399999999994</v>
      </c>
      <c r="H104" s="182" t="s">
        <v>500</v>
      </c>
    </row>
    <row r="105" spans="1:8" s="176" customFormat="1">
      <c r="A105" s="169"/>
      <c r="B105" s="170"/>
      <c r="C105" s="171" t="s">
        <v>501</v>
      </c>
      <c r="D105" s="172"/>
      <c r="E105" s="173"/>
      <c r="F105" s="174"/>
      <c r="G105" s="175">
        <f>SUM(G95:G104)</f>
        <v>544149.98</v>
      </c>
    </row>
    <row r="106" spans="1:8" s="182" customFormat="1" ht="36">
      <c r="A106" s="177" t="s">
        <v>420</v>
      </c>
      <c r="B106" s="177" t="s">
        <v>531</v>
      </c>
      <c r="C106" s="178" t="s">
        <v>532</v>
      </c>
      <c r="D106" s="230" t="s">
        <v>533</v>
      </c>
      <c r="E106" s="180">
        <f>2.7+3.5</f>
        <v>6.2</v>
      </c>
      <c r="F106" s="181">
        <v>8307.17</v>
      </c>
      <c r="G106" s="114">
        <f t="shared" ref="G106:G110" si="6">E106*F106</f>
        <v>51504.45</v>
      </c>
      <c r="H106" s="182" t="s">
        <v>529</v>
      </c>
    </row>
    <row r="107" spans="1:8" s="182" customFormat="1" ht="36">
      <c r="A107" s="177" t="s">
        <v>421</v>
      </c>
      <c r="B107" s="177" t="s">
        <v>534</v>
      </c>
      <c r="C107" s="178" t="s">
        <v>535</v>
      </c>
      <c r="D107" s="230" t="s">
        <v>536</v>
      </c>
      <c r="E107" s="180">
        <f>600/10</f>
        <v>60</v>
      </c>
      <c r="F107" s="181">
        <v>610.67999999999995</v>
      </c>
      <c r="G107" s="114">
        <f t="shared" si="6"/>
        <v>36640.800000000003</v>
      </c>
      <c r="H107" s="182" t="s">
        <v>529</v>
      </c>
    </row>
    <row r="108" spans="1:8" s="182" customFormat="1" ht="36">
      <c r="A108" s="177" t="s">
        <v>422</v>
      </c>
      <c r="B108" s="189" t="s">
        <v>537</v>
      </c>
      <c r="C108" s="110" t="s">
        <v>538</v>
      </c>
      <c r="D108" s="111" t="s">
        <v>224</v>
      </c>
      <c r="E108" s="111">
        <f>2*5*8</f>
        <v>80</v>
      </c>
      <c r="F108" s="190">
        <v>169.49</v>
      </c>
      <c r="G108" s="114">
        <f t="shared" si="6"/>
        <v>13559.2</v>
      </c>
      <c r="H108" s="182" t="s">
        <v>529</v>
      </c>
    </row>
    <row r="109" spans="1:8" s="182" customFormat="1" ht="48">
      <c r="A109" s="177" t="s">
        <v>512</v>
      </c>
      <c r="B109" s="189" t="s">
        <v>222</v>
      </c>
      <c r="C109" s="110" t="s">
        <v>539</v>
      </c>
      <c r="D109" s="111" t="s">
        <v>224</v>
      </c>
      <c r="E109" s="111">
        <f>184*5</f>
        <v>920</v>
      </c>
      <c r="F109" s="190">
        <v>195.08</v>
      </c>
      <c r="G109" s="114">
        <f t="shared" si="6"/>
        <v>179473.6</v>
      </c>
      <c r="H109" s="182" t="s">
        <v>529</v>
      </c>
    </row>
    <row r="110" spans="1:8" s="182" customFormat="1">
      <c r="A110" s="177" t="s">
        <v>514</v>
      </c>
      <c r="B110" s="184" t="s">
        <v>278</v>
      </c>
      <c r="C110" s="178" t="s">
        <v>386</v>
      </c>
      <c r="D110" s="230" t="s">
        <v>379</v>
      </c>
      <c r="E110" s="180">
        <v>1.8</v>
      </c>
      <c r="F110" s="181">
        <f>39.3*1.18</f>
        <v>46.374000000000002</v>
      </c>
      <c r="G110" s="114">
        <f t="shared" si="6"/>
        <v>83.47</v>
      </c>
      <c r="H110" s="182" t="s">
        <v>529</v>
      </c>
    </row>
    <row r="111" spans="1:8" s="176" customFormat="1">
      <c r="A111" s="169"/>
      <c r="B111" s="170"/>
      <c r="C111" s="171" t="s">
        <v>528</v>
      </c>
      <c r="D111" s="232"/>
      <c r="E111" s="173"/>
      <c r="F111" s="174"/>
      <c r="G111" s="175">
        <f>SUM(G106:G110)</f>
        <v>281261.52</v>
      </c>
    </row>
    <row r="112" spans="1:8" s="182" customFormat="1" ht="36">
      <c r="A112" s="177" t="s">
        <v>202</v>
      </c>
      <c r="B112" s="256" t="s">
        <v>531</v>
      </c>
      <c r="C112" s="178" t="s">
        <v>532</v>
      </c>
      <c r="D112" s="230" t="s">
        <v>533</v>
      </c>
      <c r="E112" s="180">
        <f>(161+278-27-35)/10</f>
        <v>37.700000000000003</v>
      </c>
      <c r="F112" s="181">
        <v>8307.17</v>
      </c>
      <c r="G112" s="114">
        <f t="shared" ref="G112:G130" si="7">E112*F112</f>
        <v>313180.31</v>
      </c>
      <c r="H112" s="182" t="s">
        <v>567</v>
      </c>
    </row>
    <row r="113" spans="1:8" s="209" customFormat="1" ht="24.75">
      <c r="A113" s="177" t="s">
        <v>205</v>
      </c>
      <c r="B113" s="191" t="s">
        <v>149</v>
      </c>
      <c r="C113" s="178" t="s">
        <v>573</v>
      </c>
      <c r="D113" s="192" t="s">
        <v>151</v>
      </c>
      <c r="E113" s="213">
        <v>2</v>
      </c>
      <c r="F113" s="181">
        <v>2721.04</v>
      </c>
      <c r="G113" s="114">
        <f t="shared" si="7"/>
        <v>5442.08</v>
      </c>
      <c r="H113" s="182" t="s">
        <v>567</v>
      </c>
    </row>
    <row r="114" spans="1:8" s="182" customFormat="1" ht="33.75">
      <c r="A114" s="177" t="s">
        <v>209</v>
      </c>
      <c r="B114" s="256" t="s">
        <v>574</v>
      </c>
      <c r="C114" s="178" t="s">
        <v>575</v>
      </c>
      <c r="D114" s="188" t="s">
        <v>576</v>
      </c>
      <c r="E114" s="180">
        <v>20</v>
      </c>
      <c r="F114" s="181">
        <v>790.48</v>
      </c>
      <c r="G114" s="114">
        <f t="shared" si="7"/>
        <v>15809.6</v>
      </c>
      <c r="H114" s="182" t="s">
        <v>567</v>
      </c>
    </row>
    <row r="115" spans="1:8" s="182" customFormat="1" ht="24">
      <c r="A115" s="177" t="s">
        <v>213</v>
      </c>
      <c r="B115" s="256" t="s">
        <v>203</v>
      </c>
      <c r="C115" s="178" t="s">
        <v>204</v>
      </c>
      <c r="D115" s="188" t="s">
        <v>14</v>
      </c>
      <c r="E115" s="180">
        <f>16440/100*30%</f>
        <v>49.32</v>
      </c>
      <c r="F115" s="181">
        <v>1001.35</v>
      </c>
      <c r="G115" s="114">
        <f t="shared" si="7"/>
        <v>49386.58</v>
      </c>
      <c r="H115" s="182" t="s">
        <v>567</v>
      </c>
    </row>
    <row r="116" spans="1:8" s="182" customFormat="1" ht="36">
      <c r="A116" s="177" t="s">
        <v>217</v>
      </c>
      <c r="B116" s="189" t="s">
        <v>537</v>
      </c>
      <c r="C116" s="110" t="s">
        <v>577</v>
      </c>
      <c r="D116" s="111" t="s">
        <v>224</v>
      </c>
      <c r="E116" s="111">
        <f>2*8*2</f>
        <v>32</v>
      </c>
      <c r="F116" s="190">
        <v>169.49</v>
      </c>
      <c r="G116" s="114">
        <f t="shared" si="7"/>
        <v>5423.68</v>
      </c>
      <c r="H116" s="182" t="s">
        <v>567</v>
      </c>
    </row>
    <row r="117" spans="1:8" s="182" customFormat="1">
      <c r="A117" s="177" t="s">
        <v>221</v>
      </c>
      <c r="B117" s="189" t="s">
        <v>222</v>
      </c>
      <c r="C117" s="110" t="s">
        <v>578</v>
      </c>
      <c r="D117" s="111" t="s">
        <v>224</v>
      </c>
      <c r="E117" s="111">
        <f>5*168-32</f>
        <v>808</v>
      </c>
      <c r="F117" s="190">
        <v>195.08</v>
      </c>
      <c r="G117" s="114">
        <f t="shared" si="7"/>
        <v>157624.64000000001</v>
      </c>
      <c r="H117" s="182" t="s">
        <v>567</v>
      </c>
    </row>
    <row r="118" spans="1:8" s="182" customFormat="1" ht="45">
      <c r="A118" s="177" t="s">
        <v>225</v>
      </c>
      <c r="B118" s="177" t="s">
        <v>376</v>
      </c>
      <c r="C118" s="178" t="s">
        <v>377</v>
      </c>
      <c r="D118" s="179" t="s">
        <v>332</v>
      </c>
      <c r="E118" s="215">
        <v>16</v>
      </c>
      <c r="F118" s="216">
        <v>358.52</v>
      </c>
      <c r="G118" s="114">
        <f t="shared" si="7"/>
        <v>5736.32</v>
      </c>
      <c r="H118" s="182" t="s">
        <v>567</v>
      </c>
    </row>
    <row r="119" spans="1:8" s="182" customFormat="1">
      <c r="A119" s="177" t="s">
        <v>229</v>
      </c>
      <c r="B119" s="184" t="s">
        <v>278</v>
      </c>
      <c r="C119" s="178" t="s">
        <v>579</v>
      </c>
      <c r="D119" s="230" t="s">
        <v>379</v>
      </c>
      <c r="E119" s="180">
        <v>16</v>
      </c>
      <c r="F119" s="181">
        <f>39.3*1.18</f>
        <v>46.374000000000002</v>
      </c>
      <c r="G119" s="114">
        <f t="shared" si="7"/>
        <v>741.98</v>
      </c>
      <c r="H119" s="182" t="s">
        <v>567</v>
      </c>
    </row>
    <row r="120" spans="1:8" s="182" customFormat="1">
      <c r="A120" s="177" t="s">
        <v>232</v>
      </c>
      <c r="B120" s="184"/>
      <c r="C120" s="178" t="s">
        <v>580</v>
      </c>
      <c r="D120" s="230" t="s">
        <v>224</v>
      </c>
      <c r="E120" s="180">
        <v>23</v>
      </c>
      <c r="F120" s="181">
        <v>350</v>
      </c>
      <c r="G120" s="114">
        <f t="shared" si="7"/>
        <v>8050</v>
      </c>
      <c r="H120" s="182" t="s">
        <v>567</v>
      </c>
    </row>
    <row r="121" spans="1:8" s="182" customFormat="1" ht="19.899999999999999" customHeight="1">
      <c r="A121" s="257"/>
      <c r="B121" s="258"/>
      <c r="C121" s="214" t="s">
        <v>581</v>
      </c>
      <c r="D121" s="258"/>
      <c r="E121" s="258"/>
      <c r="F121" s="187"/>
      <c r="H121" s="182" t="s">
        <v>567</v>
      </c>
    </row>
    <row r="122" spans="1:8" s="182" customFormat="1" ht="36">
      <c r="A122" s="177" t="s">
        <v>235</v>
      </c>
      <c r="B122" s="177" t="s">
        <v>582</v>
      </c>
      <c r="C122" s="178" t="s">
        <v>583</v>
      </c>
      <c r="D122" s="179" t="s">
        <v>584</v>
      </c>
      <c r="E122" s="180">
        <f>E124</f>
        <v>0.1125</v>
      </c>
      <c r="F122" s="181">
        <v>7173.3</v>
      </c>
      <c r="G122" s="114">
        <f t="shared" si="7"/>
        <v>807</v>
      </c>
      <c r="H122" s="182" t="s">
        <v>567</v>
      </c>
    </row>
    <row r="123" spans="1:8" s="182" customFormat="1" ht="36">
      <c r="A123" s="177" t="s">
        <v>238</v>
      </c>
      <c r="B123" s="177" t="s">
        <v>585</v>
      </c>
      <c r="C123" s="178" t="s">
        <v>586</v>
      </c>
      <c r="D123" s="179" t="s">
        <v>584</v>
      </c>
      <c r="E123" s="180">
        <f>E124</f>
        <v>0.1125</v>
      </c>
      <c r="F123" s="181">
        <v>6135.64</v>
      </c>
      <c r="G123" s="114">
        <f t="shared" si="7"/>
        <v>690.26</v>
      </c>
      <c r="H123" s="182" t="s">
        <v>567</v>
      </c>
    </row>
    <row r="124" spans="1:8" s="182" customFormat="1" ht="72">
      <c r="A124" s="177" t="s">
        <v>241</v>
      </c>
      <c r="B124" s="177" t="s">
        <v>587</v>
      </c>
      <c r="C124" s="178" t="s">
        <v>588</v>
      </c>
      <c r="D124" s="188" t="s">
        <v>584</v>
      </c>
      <c r="E124" s="180">
        <f>E125/1.2/1000</f>
        <v>0.1125</v>
      </c>
      <c r="F124" s="181">
        <v>51185.94</v>
      </c>
      <c r="G124" s="114">
        <f t="shared" si="7"/>
        <v>5758.42</v>
      </c>
      <c r="H124" s="182" t="s">
        <v>567</v>
      </c>
    </row>
    <row r="125" spans="1:8" s="182" customFormat="1" ht="48">
      <c r="A125" s="177" t="s">
        <v>244</v>
      </c>
      <c r="B125" s="177" t="s">
        <v>589</v>
      </c>
      <c r="C125" s="178" t="s">
        <v>590</v>
      </c>
      <c r="D125" s="188" t="s">
        <v>18</v>
      </c>
      <c r="E125" s="180">
        <f>E126</f>
        <v>135</v>
      </c>
      <c r="F125" s="181">
        <v>127.05</v>
      </c>
      <c r="G125" s="114">
        <f t="shared" si="7"/>
        <v>17151.75</v>
      </c>
      <c r="H125" s="182" t="s">
        <v>567</v>
      </c>
    </row>
    <row r="126" spans="1:8" s="182" customFormat="1" ht="72">
      <c r="A126" s="177" t="s">
        <v>247</v>
      </c>
      <c r="B126" s="177" t="s">
        <v>591</v>
      </c>
      <c r="C126" s="178" t="s">
        <v>592</v>
      </c>
      <c r="D126" s="188" t="s">
        <v>18</v>
      </c>
      <c r="E126" s="180">
        <f>9*15</f>
        <v>135</v>
      </c>
      <c r="F126" s="181">
        <v>56.95</v>
      </c>
      <c r="G126" s="114">
        <f t="shared" si="7"/>
        <v>7688.25</v>
      </c>
      <c r="H126" s="182" t="s">
        <v>567</v>
      </c>
    </row>
    <row r="127" spans="1:8" s="182" customFormat="1" ht="22.5">
      <c r="A127" s="177" t="s">
        <v>250</v>
      </c>
      <c r="B127" s="177" t="s">
        <v>593</v>
      </c>
      <c r="C127" s="178" t="s">
        <v>594</v>
      </c>
      <c r="D127" s="188" t="s">
        <v>584</v>
      </c>
      <c r="E127" s="180">
        <f>E124</f>
        <v>0.1125</v>
      </c>
      <c r="F127" s="181">
        <v>3080.25</v>
      </c>
      <c r="G127" s="114">
        <f t="shared" si="7"/>
        <v>346.53</v>
      </c>
      <c r="H127" s="182" t="s">
        <v>567</v>
      </c>
    </row>
    <row r="128" spans="1:8" s="182" customFormat="1" ht="36">
      <c r="A128" s="177" t="s">
        <v>254</v>
      </c>
      <c r="B128" s="177" t="s">
        <v>595</v>
      </c>
      <c r="C128" s="178" t="s">
        <v>596</v>
      </c>
      <c r="D128" s="188" t="s">
        <v>584</v>
      </c>
      <c r="E128" s="180">
        <f>E124</f>
        <v>0.1125</v>
      </c>
      <c r="F128" s="181">
        <v>4936.16</v>
      </c>
      <c r="G128" s="114">
        <f t="shared" si="7"/>
        <v>555.32000000000005</v>
      </c>
      <c r="H128" s="182" t="s">
        <v>567</v>
      </c>
    </row>
    <row r="129" spans="1:26" s="182" customFormat="1">
      <c r="A129" s="177" t="s">
        <v>257</v>
      </c>
      <c r="B129" s="177"/>
      <c r="C129" s="178" t="s">
        <v>597</v>
      </c>
      <c r="D129" s="188" t="s">
        <v>570</v>
      </c>
      <c r="E129" s="180">
        <v>48</v>
      </c>
      <c r="F129" s="181">
        <f>28800/48</f>
        <v>600</v>
      </c>
      <c r="G129" s="114">
        <f t="shared" si="7"/>
        <v>28800</v>
      </c>
      <c r="H129" s="182" t="s">
        <v>567</v>
      </c>
    </row>
    <row r="130" spans="1:26" s="182" customFormat="1">
      <c r="A130" s="177" t="s">
        <v>260</v>
      </c>
      <c r="B130" s="177"/>
      <c r="C130" s="178" t="s">
        <v>598</v>
      </c>
      <c r="D130" s="188" t="s">
        <v>570</v>
      </c>
      <c r="E130" s="180">
        <f>84+84</f>
        <v>168</v>
      </c>
      <c r="F130" s="181">
        <f>28800/48</f>
        <v>600</v>
      </c>
      <c r="G130" s="114">
        <f t="shared" si="7"/>
        <v>100800</v>
      </c>
      <c r="H130" s="182" t="s">
        <v>567</v>
      </c>
    </row>
    <row r="131" spans="1:26" s="176" customFormat="1">
      <c r="A131" s="169"/>
      <c r="B131" s="170"/>
      <c r="C131" s="171" t="s">
        <v>568</v>
      </c>
      <c r="D131" s="232"/>
      <c r="E131" s="173"/>
      <c r="F131" s="174"/>
      <c r="G131" s="175">
        <f>SUM(G112:G130)</f>
        <v>723992.72</v>
      </c>
    </row>
    <row r="132" spans="1:26" s="182" customFormat="1" ht="22.5">
      <c r="A132" s="183" t="s">
        <v>633</v>
      </c>
      <c r="B132" s="259" t="s">
        <v>278</v>
      </c>
      <c r="C132" s="271" t="s">
        <v>634</v>
      </c>
      <c r="D132" s="111"/>
      <c r="E132" s="111"/>
      <c r="F132" s="234"/>
      <c r="G132" s="114"/>
      <c r="H132" s="182" t="s">
        <v>567</v>
      </c>
    </row>
    <row r="133" spans="1:26" s="276" customFormat="1" ht="12">
      <c r="A133" s="272"/>
      <c r="B133" s="272"/>
      <c r="C133" s="273" t="s">
        <v>635</v>
      </c>
      <c r="D133" s="272" t="s">
        <v>484</v>
      </c>
      <c r="E133" s="272">
        <v>6</v>
      </c>
      <c r="F133" s="274">
        <v>1300</v>
      </c>
      <c r="G133" s="208">
        <f t="shared" ref="G133:G197" si="8">E133*F133</f>
        <v>7800</v>
      </c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</row>
    <row r="134" spans="1:26" s="209" customFormat="1" ht="15">
      <c r="A134" s="277"/>
      <c r="B134" s="278"/>
      <c r="C134" s="278" t="s">
        <v>636</v>
      </c>
      <c r="D134" s="277" t="s">
        <v>292</v>
      </c>
      <c r="E134" s="279">
        <v>3</v>
      </c>
      <c r="F134" s="280">
        <v>35</v>
      </c>
      <c r="G134" s="208">
        <f t="shared" si="8"/>
        <v>105</v>
      </c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</row>
    <row r="135" spans="1:26" s="209" customFormat="1" ht="15">
      <c r="A135" s="277"/>
      <c r="B135" s="278"/>
      <c r="C135" s="278" t="s">
        <v>637</v>
      </c>
      <c r="D135" s="277" t="s">
        <v>292</v>
      </c>
      <c r="E135" s="279">
        <v>3</v>
      </c>
      <c r="F135" s="280">
        <v>130</v>
      </c>
      <c r="G135" s="208">
        <f t="shared" si="8"/>
        <v>390</v>
      </c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</row>
    <row r="136" spans="1:26" s="209" customFormat="1" ht="15">
      <c r="A136" s="277"/>
      <c r="B136" s="278"/>
      <c r="C136" s="278" t="s">
        <v>557</v>
      </c>
      <c r="D136" s="277" t="s">
        <v>292</v>
      </c>
      <c r="E136" s="279">
        <v>6</v>
      </c>
      <c r="F136" s="280">
        <v>585</v>
      </c>
      <c r="G136" s="208">
        <f t="shared" si="8"/>
        <v>3510</v>
      </c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</row>
    <row r="137" spans="1:26" s="209" customFormat="1" ht="15">
      <c r="A137" s="277"/>
      <c r="B137" s="278"/>
      <c r="C137" s="278" t="s">
        <v>638</v>
      </c>
      <c r="D137" s="277" t="s">
        <v>292</v>
      </c>
      <c r="E137" s="279">
        <v>7</v>
      </c>
      <c r="F137" s="280">
        <v>473.57</v>
      </c>
      <c r="G137" s="208">
        <f t="shared" si="8"/>
        <v>3314.99</v>
      </c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</row>
    <row r="138" spans="1:26" s="209" customFormat="1" ht="15">
      <c r="A138" s="277"/>
      <c r="B138" s="278"/>
      <c r="C138" s="278" t="s">
        <v>639</v>
      </c>
      <c r="D138" s="277" t="s">
        <v>292</v>
      </c>
      <c r="E138" s="279">
        <v>10.5</v>
      </c>
      <c r="F138" s="280">
        <v>200</v>
      </c>
      <c r="G138" s="208">
        <f t="shared" si="8"/>
        <v>2100</v>
      </c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</row>
    <row r="139" spans="1:26" s="209" customFormat="1" ht="15">
      <c r="A139" s="277"/>
      <c r="B139" s="278"/>
      <c r="C139" s="278" t="s">
        <v>640</v>
      </c>
      <c r="D139" s="277" t="s">
        <v>292</v>
      </c>
      <c r="E139" s="279">
        <v>1.5</v>
      </c>
      <c r="F139" s="280">
        <v>37</v>
      </c>
      <c r="G139" s="208">
        <f t="shared" si="8"/>
        <v>55.5</v>
      </c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</row>
    <row r="140" spans="1:26" s="209" customFormat="1" ht="15">
      <c r="A140" s="277"/>
      <c r="B140" s="278"/>
      <c r="C140" s="278" t="s">
        <v>641</v>
      </c>
      <c r="D140" s="277" t="s">
        <v>484</v>
      </c>
      <c r="E140" s="279">
        <v>4</v>
      </c>
      <c r="F140" s="280">
        <v>40</v>
      </c>
      <c r="G140" s="208">
        <f t="shared" si="8"/>
        <v>160</v>
      </c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</row>
    <row r="141" spans="1:26" s="209" customFormat="1" ht="15">
      <c r="A141" s="277"/>
      <c r="B141" s="278"/>
      <c r="C141" s="278" t="s">
        <v>555</v>
      </c>
      <c r="D141" s="277" t="s">
        <v>556</v>
      </c>
      <c r="E141" s="279">
        <v>1</v>
      </c>
      <c r="F141" s="280">
        <v>215</v>
      </c>
      <c r="G141" s="208">
        <f t="shared" si="8"/>
        <v>215</v>
      </c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</row>
    <row r="142" spans="1:26" s="209" customFormat="1" ht="15">
      <c r="A142" s="277"/>
      <c r="B142" s="278"/>
      <c r="C142" s="278" t="s">
        <v>642</v>
      </c>
      <c r="D142" s="277" t="s">
        <v>292</v>
      </c>
      <c r="E142" s="279">
        <v>2</v>
      </c>
      <c r="F142" s="280">
        <v>95</v>
      </c>
      <c r="G142" s="208">
        <f t="shared" si="8"/>
        <v>190</v>
      </c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</row>
    <row r="143" spans="1:26" s="209" customFormat="1" ht="15">
      <c r="A143" s="277"/>
      <c r="B143" s="278"/>
      <c r="C143" s="278" t="s">
        <v>643</v>
      </c>
      <c r="D143" s="277" t="s">
        <v>484</v>
      </c>
      <c r="E143" s="279">
        <v>10</v>
      </c>
      <c r="F143" s="280">
        <v>30</v>
      </c>
      <c r="G143" s="208">
        <f t="shared" si="8"/>
        <v>300</v>
      </c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</row>
    <row r="144" spans="1:26" s="182" customFormat="1">
      <c r="A144" s="183"/>
      <c r="B144" s="259"/>
      <c r="C144" s="282" t="s">
        <v>644</v>
      </c>
      <c r="D144" s="111" t="s">
        <v>292</v>
      </c>
      <c r="E144" s="283">
        <v>110</v>
      </c>
      <c r="F144" s="284">
        <v>60</v>
      </c>
      <c r="G144" s="208">
        <f t="shared" si="8"/>
        <v>6600</v>
      </c>
    </row>
    <row r="145" spans="1:26" s="182" customFormat="1">
      <c r="A145" s="183"/>
      <c r="B145" s="189"/>
      <c r="C145" s="282" t="s">
        <v>645</v>
      </c>
      <c r="D145" s="111" t="s">
        <v>398</v>
      </c>
      <c r="E145" s="283">
        <v>5</v>
      </c>
      <c r="F145" s="284">
        <v>130</v>
      </c>
      <c r="G145" s="208">
        <f t="shared" si="8"/>
        <v>650</v>
      </c>
    </row>
    <row r="146" spans="1:26" s="209" customFormat="1" ht="15">
      <c r="A146" s="285"/>
      <c r="B146" s="286"/>
      <c r="C146" s="286" t="s">
        <v>646</v>
      </c>
      <c r="D146" s="285" t="s">
        <v>484</v>
      </c>
      <c r="E146" s="287">
        <v>1</v>
      </c>
      <c r="F146" s="288">
        <v>255</v>
      </c>
      <c r="G146" s="208">
        <f t="shared" si="8"/>
        <v>255</v>
      </c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</row>
    <row r="147" spans="1:26" s="209" customFormat="1" ht="15">
      <c r="A147" s="285"/>
      <c r="B147" s="286"/>
      <c r="C147" s="286" t="s">
        <v>647</v>
      </c>
      <c r="D147" s="285" t="s">
        <v>484</v>
      </c>
      <c r="E147" s="287">
        <v>1</v>
      </c>
      <c r="F147" s="288">
        <v>300</v>
      </c>
      <c r="G147" s="208">
        <f t="shared" si="8"/>
        <v>300</v>
      </c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</row>
    <row r="148" spans="1:26" s="209" customFormat="1" ht="15">
      <c r="A148" s="285"/>
      <c r="B148" s="286"/>
      <c r="C148" s="286" t="s">
        <v>648</v>
      </c>
      <c r="D148" s="285" t="s">
        <v>484</v>
      </c>
      <c r="E148" s="287">
        <v>2</v>
      </c>
      <c r="F148" s="288">
        <v>742</v>
      </c>
      <c r="G148" s="208">
        <f t="shared" si="8"/>
        <v>1484</v>
      </c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</row>
    <row r="149" spans="1:26" s="209" customFormat="1" ht="15">
      <c r="A149" s="285"/>
      <c r="B149" s="286"/>
      <c r="C149" s="286" t="s">
        <v>649</v>
      </c>
      <c r="D149" s="285" t="s">
        <v>484</v>
      </c>
      <c r="E149" s="287">
        <v>1</v>
      </c>
      <c r="F149" s="288">
        <v>290</v>
      </c>
      <c r="G149" s="208">
        <f t="shared" si="8"/>
        <v>290</v>
      </c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</row>
    <row r="150" spans="1:26" s="209" customFormat="1" ht="15">
      <c r="A150" s="285"/>
      <c r="B150" s="286"/>
      <c r="C150" s="286" t="s">
        <v>650</v>
      </c>
      <c r="D150" s="285" t="s">
        <v>556</v>
      </c>
      <c r="E150" s="287">
        <v>7</v>
      </c>
      <c r="F150" s="288">
        <v>264.29000000000002</v>
      </c>
      <c r="G150" s="208">
        <f t="shared" si="8"/>
        <v>1850.03</v>
      </c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</row>
    <row r="151" spans="1:26" s="209" customFormat="1" ht="15">
      <c r="A151" s="285"/>
      <c r="B151" s="286"/>
      <c r="C151" s="286" t="s">
        <v>651</v>
      </c>
      <c r="D151" s="285" t="s">
        <v>484</v>
      </c>
      <c r="E151" s="287">
        <v>1</v>
      </c>
      <c r="F151" s="288">
        <v>850</v>
      </c>
      <c r="G151" s="208">
        <f t="shared" si="8"/>
        <v>850</v>
      </c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</row>
    <row r="152" spans="1:26" s="209" customFormat="1" ht="15">
      <c r="A152" s="285"/>
      <c r="B152" s="286"/>
      <c r="C152" s="286" t="s">
        <v>652</v>
      </c>
      <c r="D152" s="285" t="s">
        <v>292</v>
      </c>
      <c r="E152" s="287">
        <v>1.5</v>
      </c>
      <c r="F152" s="288">
        <v>75</v>
      </c>
      <c r="G152" s="208">
        <f t="shared" si="8"/>
        <v>112.5</v>
      </c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</row>
    <row r="153" spans="1:26" s="276" customFormat="1" ht="12">
      <c r="A153" s="290"/>
      <c r="B153" s="291"/>
      <c r="C153" s="292" t="s">
        <v>653</v>
      </c>
      <c r="D153" s="290" t="s">
        <v>484</v>
      </c>
      <c r="E153" s="293">
        <v>2</v>
      </c>
      <c r="F153" s="294">
        <v>90</v>
      </c>
      <c r="G153" s="208">
        <f t="shared" si="8"/>
        <v>180</v>
      </c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s="276" customFormat="1" ht="12">
      <c r="A154" s="290"/>
      <c r="B154" s="291"/>
      <c r="C154" s="292" t="s">
        <v>646</v>
      </c>
      <c r="D154" s="290" t="s">
        <v>484</v>
      </c>
      <c r="E154" s="293">
        <v>8</v>
      </c>
      <c r="F154" s="294">
        <v>461</v>
      </c>
      <c r="G154" s="208">
        <f t="shared" si="8"/>
        <v>3688</v>
      </c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s="276" customFormat="1" ht="12">
      <c r="A155" s="290"/>
      <c r="B155" s="291"/>
      <c r="C155" s="292" t="s">
        <v>650</v>
      </c>
      <c r="D155" s="290" t="s">
        <v>556</v>
      </c>
      <c r="E155" s="293">
        <v>13</v>
      </c>
      <c r="F155" s="294">
        <v>370</v>
      </c>
      <c r="G155" s="208">
        <f t="shared" si="8"/>
        <v>4810</v>
      </c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s="276" customFormat="1" ht="12">
      <c r="A156" s="290"/>
      <c r="B156" s="291"/>
      <c r="C156" s="292" t="s">
        <v>654</v>
      </c>
      <c r="D156" s="290" t="s">
        <v>484</v>
      </c>
      <c r="E156" s="293">
        <v>1</v>
      </c>
      <c r="F156" s="294">
        <v>720</v>
      </c>
      <c r="G156" s="208">
        <f t="shared" si="8"/>
        <v>720</v>
      </c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s="276" customFormat="1" ht="12">
      <c r="A157" s="290"/>
      <c r="B157" s="291"/>
      <c r="C157" s="292" t="s">
        <v>655</v>
      </c>
      <c r="D157" s="290" t="s">
        <v>484</v>
      </c>
      <c r="E157" s="293">
        <v>4</v>
      </c>
      <c r="F157" s="294">
        <v>180</v>
      </c>
      <c r="G157" s="208">
        <f t="shared" si="8"/>
        <v>720</v>
      </c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s="276" customFormat="1" ht="12">
      <c r="A158" s="290"/>
      <c r="B158" s="291"/>
      <c r="C158" s="292" t="s">
        <v>656</v>
      </c>
      <c r="D158" s="290" t="s">
        <v>292</v>
      </c>
      <c r="E158" s="293">
        <v>48</v>
      </c>
      <c r="F158" s="294">
        <v>220</v>
      </c>
      <c r="G158" s="208">
        <f t="shared" si="8"/>
        <v>10560</v>
      </c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s="276" customFormat="1" ht="12">
      <c r="A159" s="290"/>
      <c r="B159" s="291"/>
      <c r="C159" s="292" t="s">
        <v>657</v>
      </c>
      <c r="D159" s="290" t="s">
        <v>484</v>
      </c>
      <c r="E159" s="293">
        <v>2</v>
      </c>
      <c r="F159" s="294">
        <v>160</v>
      </c>
      <c r="G159" s="208">
        <f t="shared" si="8"/>
        <v>320</v>
      </c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s="276" customFormat="1" ht="12">
      <c r="A160" s="290"/>
      <c r="B160" s="291"/>
      <c r="C160" s="292" t="s">
        <v>658</v>
      </c>
      <c r="D160" s="290" t="s">
        <v>484</v>
      </c>
      <c r="E160" s="293">
        <v>45</v>
      </c>
      <c r="F160" s="294">
        <v>25</v>
      </c>
      <c r="G160" s="208">
        <f t="shared" si="8"/>
        <v>1125</v>
      </c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s="276" customFormat="1" ht="12">
      <c r="A161" s="290"/>
      <c r="B161" s="291"/>
      <c r="C161" s="292" t="s">
        <v>659</v>
      </c>
      <c r="D161" s="290" t="s">
        <v>484</v>
      </c>
      <c r="E161" s="293">
        <v>2</v>
      </c>
      <c r="F161" s="296">
        <v>1455</v>
      </c>
      <c r="G161" s="208">
        <f t="shared" si="8"/>
        <v>2910</v>
      </c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s="276" customFormat="1" ht="12">
      <c r="A162" s="290"/>
      <c r="B162" s="291"/>
      <c r="C162" s="292" t="s">
        <v>660</v>
      </c>
      <c r="D162" s="290" t="s">
        <v>484</v>
      </c>
      <c r="E162" s="293">
        <v>1</v>
      </c>
      <c r="F162" s="294">
        <v>470</v>
      </c>
      <c r="G162" s="208">
        <f t="shared" si="8"/>
        <v>470</v>
      </c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s="276" customFormat="1" ht="12">
      <c r="A163" s="290"/>
      <c r="B163" s="291"/>
      <c r="C163" s="292" t="s">
        <v>661</v>
      </c>
      <c r="D163" s="290" t="s">
        <v>484</v>
      </c>
      <c r="E163" s="293">
        <v>2</v>
      </c>
      <c r="F163" s="294">
        <v>37</v>
      </c>
      <c r="G163" s="208">
        <f t="shared" si="8"/>
        <v>74</v>
      </c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s="276" customFormat="1" ht="12">
      <c r="A164" s="290"/>
      <c r="B164" s="291"/>
      <c r="C164" s="292" t="s">
        <v>662</v>
      </c>
      <c r="D164" s="290" t="s">
        <v>484</v>
      </c>
      <c r="E164" s="293">
        <v>2</v>
      </c>
      <c r="F164" s="294">
        <v>26.75</v>
      </c>
      <c r="G164" s="208">
        <f t="shared" si="8"/>
        <v>53.5</v>
      </c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s="276" customFormat="1" ht="12">
      <c r="A165" s="290"/>
      <c r="B165" s="291"/>
      <c r="C165" s="292" t="s">
        <v>663</v>
      </c>
      <c r="D165" s="290"/>
      <c r="E165" s="293">
        <v>1</v>
      </c>
      <c r="F165" s="294">
        <v>43</v>
      </c>
      <c r="G165" s="208">
        <f t="shared" si="8"/>
        <v>43</v>
      </c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s="276" customFormat="1" ht="12">
      <c r="A166" s="290"/>
      <c r="B166" s="291"/>
      <c r="C166" s="292" t="s">
        <v>664</v>
      </c>
      <c r="D166" s="290" t="s">
        <v>484</v>
      </c>
      <c r="E166" s="293">
        <v>1</v>
      </c>
      <c r="F166" s="294">
        <v>355</v>
      </c>
      <c r="G166" s="208">
        <f t="shared" si="8"/>
        <v>355</v>
      </c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s="276" customFormat="1" ht="12">
      <c r="A167" s="290"/>
      <c r="B167" s="291"/>
      <c r="C167" s="292" t="s">
        <v>665</v>
      </c>
      <c r="D167" s="290" t="s">
        <v>484</v>
      </c>
      <c r="E167" s="293">
        <v>7</v>
      </c>
      <c r="F167" s="294">
        <v>150</v>
      </c>
      <c r="G167" s="208">
        <f t="shared" si="8"/>
        <v>1050</v>
      </c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s="276" customFormat="1" ht="12">
      <c r="A168" s="290"/>
      <c r="B168" s="291"/>
      <c r="C168" s="292" t="s">
        <v>666</v>
      </c>
      <c r="D168" s="290" t="s">
        <v>484</v>
      </c>
      <c r="E168" s="293">
        <v>1</v>
      </c>
      <c r="F168" s="294">
        <v>100</v>
      </c>
      <c r="G168" s="208">
        <f t="shared" si="8"/>
        <v>100</v>
      </c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s="276" customFormat="1" ht="12">
      <c r="A169" s="297"/>
      <c r="B169" s="298"/>
      <c r="C169" s="299" t="s">
        <v>456</v>
      </c>
      <c r="D169" s="297" t="s">
        <v>484</v>
      </c>
      <c r="E169" s="300">
        <v>1</v>
      </c>
      <c r="F169" s="301">
        <v>2900</v>
      </c>
      <c r="G169" s="208">
        <f t="shared" si="8"/>
        <v>2900</v>
      </c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</row>
    <row r="170" spans="1:26" s="276" customFormat="1" ht="12">
      <c r="A170" s="297"/>
      <c r="B170" s="298"/>
      <c r="C170" s="299" t="s">
        <v>667</v>
      </c>
      <c r="D170" s="297" t="s">
        <v>484</v>
      </c>
      <c r="E170" s="300">
        <v>4</v>
      </c>
      <c r="F170" s="303">
        <v>55</v>
      </c>
      <c r="G170" s="208">
        <f t="shared" si="8"/>
        <v>220</v>
      </c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</row>
    <row r="171" spans="1:26" s="276" customFormat="1" ht="12">
      <c r="A171" s="297"/>
      <c r="B171" s="298"/>
      <c r="C171" s="299" t="s">
        <v>448</v>
      </c>
      <c r="D171" s="297" t="s">
        <v>292</v>
      </c>
      <c r="E171" s="300">
        <v>2</v>
      </c>
      <c r="F171" s="303">
        <v>65</v>
      </c>
      <c r="G171" s="208">
        <f t="shared" si="8"/>
        <v>130</v>
      </c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</row>
    <row r="172" spans="1:26" s="276" customFormat="1" ht="12">
      <c r="A172" s="297"/>
      <c r="B172" s="298"/>
      <c r="C172" s="299" t="s">
        <v>668</v>
      </c>
      <c r="D172" s="297" t="s">
        <v>484</v>
      </c>
      <c r="E172" s="300">
        <v>2</v>
      </c>
      <c r="F172" s="303">
        <v>220</v>
      </c>
      <c r="G172" s="208">
        <f t="shared" si="8"/>
        <v>440</v>
      </c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</row>
    <row r="173" spans="1:26" s="276" customFormat="1" ht="12">
      <c r="A173" s="304"/>
      <c r="B173" s="259"/>
      <c r="C173" s="305" t="s">
        <v>669</v>
      </c>
      <c r="D173" s="304" t="s">
        <v>484</v>
      </c>
      <c r="E173" s="306">
        <v>1</v>
      </c>
      <c r="F173" s="307">
        <v>150</v>
      </c>
      <c r="G173" s="208">
        <f t="shared" si="8"/>
        <v>150</v>
      </c>
      <c r="H173" s="308"/>
      <c r="I173" s="308"/>
      <c r="J173" s="308"/>
      <c r="K173" s="308"/>
    </row>
    <row r="174" spans="1:26" s="276" customFormat="1" ht="12">
      <c r="A174" s="304"/>
      <c r="B174" s="259"/>
      <c r="C174" s="305" t="s">
        <v>670</v>
      </c>
      <c r="D174" s="304" t="s">
        <v>292</v>
      </c>
      <c r="E174" s="306">
        <v>60</v>
      </c>
      <c r="F174" s="307">
        <v>90</v>
      </c>
      <c r="G174" s="208">
        <f t="shared" si="8"/>
        <v>5400</v>
      </c>
      <c r="H174" s="308"/>
      <c r="I174" s="308"/>
      <c r="J174" s="308"/>
      <c r="K174" s="308"/>
    </row>
    <row r="175" spans="1:26" s="276" customFormat="1" ht="22.5">
      <c r="A175" s="304"/>
      <c r="B175" s="259"/>
      <c r="C175" s="305" t="s">
        <v>549</v>
      </c>
      <c r="D175" s="304" t="s">
        <v>484</v>
      </c>
      <c r="E175" s="306">
        <v>4</v>
      </c>
      <c r="F175" s="307">
        <v>160</v>
      </c>
      <c r="G175" s="208">
        <f t="shared" si="8"/>
        <v>640</v>
      </c>
      <c r="H175" s="308"/>
      <c r="I175" s="308"/>
      <c r="J175" s="308"/>
      <c r="K175" s="308"/>
    </row>
    <row r="176" spans="1:26" s="276" customFormat="1" ht="12">
      <c r="A176" s="304"/>
      <c r="B176" s="259"/>
      <c r="C176" s="305" t="s">
        <v>671</v>
      </c>
      <c r="D176" s="304" t="s">
        <v>484</v>
      </c>
      <c r="E176" s="306">
        <v>4</v>
      </c>
      <c r="F176" s="307">
        <v>170</v>
      </c>
      <c r="G176" s="208">
        <f t="shared" si="8"/>
        <v>680</v>
      </c>
      <c r="H176" s="308"/>
      <c r="I176" s="308"/>
      <c r="J176" s="308"/>
      <c r="K176" s="308"/>
    </row>
    <row r="177" spans="1:26" s="276" customFormat="1" ht="12">
      <c r="A177" s="304"/>
      <c r="B177" s="259"/>
      <c r="C177" s="305" t="s">
        <v>672</v>
      </c>
      <c r="D177" s="304" t="s">
        <v>484</v>
      </c>
      <c r="E177" s="306">
        <v>2</v>
      </c>
      <c r="F177" s="307">
        <v>55</v>
      </c>
      <c r="G177" s="208">
        <f t="shared" si="8"/>
        <v>110</v>
      </c>
      <c r="H177" s="308"/>
      <c r="I177" s="308"/>
      <c r="J177" s="308"/>
      <c r="K177" s="308"/>
    </row>
    <row r="178" spans="1:26" s="276" customFormat="1" ht="12">
      <c r="A178" s="304"/>
      <c r="B178" s="259"/>
      <c r="C178" s="305" t="s">
        <v>443</v>
      </c>
      <c r="D178" s="304" t="s">
        <v>484</v>
      </c>
      <c r="E178" s="306">
        <v>2</v>
      </c>
      <c r="F178" s="307">
        <v>180</v>
      </c>
      <c r="G178" s="208">
        <f t="shared" si="8"/>
        <v>360</v>
      </c>
      <c r="H178" s="308"/>
      <c r="I178" s="308"/>
      <c r="J178" s="308"/>
      <c r="K178" s="308"/>
    </row>
    <row r="179" spans="1:26" s="276" customFormat="1" ht="12">
      <c r="A179" s="309"/>
      <c r="B179" s="309"/>
      <c r="C179" s="310" t="s">
        <v>673</v>
      </c>
      <c r="D179" s="309" t="s">
        <v>484</v>
      </c>
      <c r="E179" s="311">
        <v>1</v>
      </c>
      <c r="F179" s="312">
        <v>18</v>
      </c>
      <c r="G179" s="208">
        <f t="shared" si="8"/>
        <v>18</v>
      </c>
      <c r="H179" s="313"/>
      <c r="I179" s="313"/>
      <c r="J179" s="313"/>
      <c r="K179" s="313"/>
    </row>
    <row r="180" spans="1:26" s="276" customFormat="1" ht="12">
      <c r="A180" s="309"/>
      <c r="B180" s="309"/>
      <c r="C180" s="310" t="s">
        <v>674</v>
      </c>
      <c r="D180" s="309" t="s">
        <v>484</v>
      </c>
      <c r="E180" s="311">
        <v>1</v>
      </c>
      <c r="F180" s="312">
        <v>290</v>
      </c>
      <c r="G180" s="208">
        <f t="shared" si="8"/>
        <v>290</v>
      </c>
      <c r="H180" s="313"/>
      <c r="I180" s="313"/>
      <c r="J180" s="313"/>
      <c r="K180" s="313"/>
    </row>
    <row r="181" spans="1:26" s="276" customFormat="1" ht="12">
      <c r="A181" s="309"/>
      <c r="B181" s="309"/>
      <c r="C181" s="310" t="s">
        <v>675</v>
      </c>
      <c r="D181" s="309" t="s">
        <v>484</v>
      </c>
      <c r="E181" s="311">
        <v>4</v>
      </c>
      <c r="F181" s="312">
        <v>150</v>
      </c>
      <c r="G181" s="208">
        <f t="shared" si="8"/>
        <v>600</v>
      </c>
      <c r="H181" s="313"/>
      <c r="I181" s="313"/>
      <c r="J181" s="313"/>
      <c r="K181" s="313"/>
    </row>
    <row r="182" spans="1:26" s="276" customFormat="1" ht="12">
      <c r="A182" s="309"/>
      <c r="B182" s="309"/>
      <c r="C182" s="310" t="s">
        <v>676</v>
      </c>
      <c r="D182" s="309" t="s">
        <v>484</v>
      </c>
      <c r="E182" s="311">
        <v>1</v>
      </c>
      <c r="F182" s="312">
        <v>990</v>
      </c>
      <c r="G182" s="208">
        <f t="shared" si="8"/>
        <v>990</v>
      </c>
      <c r="H182" s="313"/>
      <c r="I182" s="313"/>
      <c r="J182" s="313"/>
      <c r="K182" s="313"/>
    </row>
    <row r="183" spans="1:26" s="276" customFormat="1" ht="12">
      <c r="A183" s="309"/>
      <c r="B183" s="309"/>
      <c r="C183" s="310" t="s">
        <v>677</v>
      </c>
      <c r="D183" s="309" t="s">
        <v>484</v>
      </c>
      <c r="E183" s="311">
        <v>2</v>
      </c>
      <c r="F183" s="312">
        <v>100</v>
      </c>
      <c r="G183" s="208">
        <f t="shared" si="8"/>
        <v>200</v>
      </c>
      <c r="H183" s="313"/>
      <c r="I183" s="313"/>
      <c r="J183" s="313"/>
      <c r="K183" s="313"/>
    </row>
    <row r="184" spans="1:26" s="276" customFormat="1" ht="12">
      <c r="A184" s="309"/>
      <c r="B184" s="309"/>
      <c r="C184" s="310" t="s">
        <v>678</v>
      </c>
      <c r="D184" s="309" t="s">
        <v>484</v>
      </c>
      <c r="E184" s="311">
        <v>2</v>
      </c>
      <c r="F184" s="312">
        <v>35</v>
      </c>
      <c r="G184" s="208">
        <f t="shared" si="8"/>
        <v>70</v>
      </c>
      <c r="H184" s="313"/>
      <c r="I184" s="313"/>
      <c r="J184" s="313"/>
      <c r="K184" s="313"/>
    </row>
    <row r="185" spans="1:26" s="276" customFormat="1" ht="22.5">
      <c r="A185" s="309"/>
      <c r="B185" s="309"/>
      <c r="C185" s="310" t="s">
        <v>549</v>
      </c>
      <c r="D185" s="309" t="s">
        <v>484</v>
      </c>
      <c r="E185" s="311">
        <v>1</v>
      </c>
      <c r="F185" s="312">
        <v>160</v>
      </c>
      <c r="G185" s="208">
        <f t="shared" si="8"/>
        <v>160</v>
      </c>
      <c r="H185" s="313"/>
      <c r="I185" s="313"/>
      <c r="J185" s="313"/>
      <c r="K185" s="313"/>
    </row>
    <row r="186" spans="1:26" s="276" customFormat="1" ht="12">
      <c r="A186" s="309"/>
      <c r="B186" s="309"/>
      <c r="C186" s="310" t="s">
        <v>679</v>
      </c>
      <c r="D186" s="309" t="s">
        <v>484</v>
      </c>
      <c r="E186" s="311">
        <v>1</v>
      </c>
      <c r="F186" s="312">
        <v>240</v>
      </c>
      <c r="G186" s="208">
        <f t="shared" si="8"/>
        <v>240</v>
      </c>
      <c r="H186" s="313"/>
      <c r="I186" s="313"/>
      <c r="J186" s="313"/>
      <c r="K186" s="313"/>
    </row>
    <row r="187" spans="1:26" s="276" customFormat="1" ht="12">
      <c r="A187" s="309"/>
      <c r="B187" s="309"/>
      <c r="C187" s="310" t="s">
        <v>680</v>
      </c>
      <c r="D187" s="309" t="s">
        <v>484</v>
      </c>
      <c r="E187" s="311">
        <v>1</v>
      </c>
      <c r="F187" s="314">
        <v>2850</v>
      </c>
      <c r="G187" s="208">
        <f t="shared" si="8"/>
        <v>2850</v>
      </c>
      <c r="H187" s="313"/>
      <c r="I187" s="313"/>
      <c r="J187" s="313"/>
      <c r="K187" s="313"/>
    </row>
    <row r="188" spans="1:26" s="276" customFormat="1" ht="12">
      <c r="A188" s="309"/>
      <c r="B188" s="309"/>
      <c r="C188" s="310" t="s">
        <v>456</v>
      </c>
      <c r="D188" s="309" t="s">
        <v>484</v>
      </c>
      <c r="E188" s="311">
        <v>2</v>
      </c>
      <c r="F188" s="314">
        <v>2900</v>
      </c>
      <c r="G188" s="208">
        <f t="shared" si="8"/>
        <v>5800</v>
      </c>
      <c r="H188" s="313"/>
      <c r="I188" s="313"/>
      <c r="J188" s="313"/>
      <c r="K188" s="313"/>
    </row>
    <row r="189" spans="1:26" s="276" customFormat="1" ht="12">
      <c r="A189" s="309"/>
      <c r="B189" s="309"/>
      <c r="C189" s="310" t="s">
        <v>681</v>
      </c>
      <c r="D189" s="309" t="s">
        <v>484</v>
      </c>
      <c r="E189" s="311">
        <v>12</v>
      </c>
      <c r="F189" s="312">
        <v>39</v>
      </c>
      <c r="G189" s="208">
        <f t="shared" si="8"/>
        <v>468</v>
      </c>
      <c r="H189" s="313"/>
      <c r="I189" s="313"/>
      <c r="J189" s="313"/>
      <c r="K189" s="313"/>
    </row>
    <row r="190" spans="1:26" s="276" customFormat="1" ht="12">
      <c r="A190" s="309"/>
      <c r="B190" s="309"/>
      <c r="C190" s="310" t="s">
        <v>682</v>
      </c>
      <c r="D190" s="309" t="s">
        <v>484</v>
      </c>
      <c r="E190" s="311">
        <v>2</v>
      </c>
      <c r="F190" s="312">
        <v>180</v>
      </c>
      <c r="G190" s="208">
        <f t="shared" si="8"/>
        <v>360</v>
      </c>
      <c r="H190" s="313"/>
      <c r="I190" s="313"/>
      <c r="J190" s="313"/>
      <c r="K190" s="313"/>
    </row>
    <row r="191" spans="1:26" s="209" customFormat="1" ht="15">
      <c r="A191" s="315"/>
      <c r="B191" s="315"/>
      <c r="C191" s="316" t="s">
        <v>683</v>
      </c>
      <c r="D191" s="315" t="s">
        <v>484</v>
      </c>
      <c r="E191" s="317">
        <v>1</v>
      </c>
      <c r="F191" s="318">
        <v>952.2</v>
      </c>
      <c r="G191" s="208">
        <f t="shared" si="8"/>
        <v>952.2</v>
      </c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</row>
    <row r="192" spans="1:26" s="209" customFormat="1" ht="33.75">
      <c r="A192" s="315"/>
      <c r="B192" s="315"/>
      <c r="C192" s="316" t="s">
        <v>684</v>
      </c>
      <c r="D192" s="315" t="s">
        <v>484</v>
      </c>
      <c r="E192" s="317">
        <v>1</v>
      </c>
      <c r="F192" s="318">
        <v>513</v>
      </c>
      <c r="G192" s="208">
        <f t="shared" si="8"/>
        <v>513</v>
      </c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</row>
    <row r="193" spans="1:34" s="209" customFormat="1" ht="22.5">
      <c r="A193" s="315"/>
      <c r="B193" s="315"/>
      <c r="C193" s="316" t="s">
        <v>685</v>
      </c>
      <c r="D193" s="315" t="s">
        <v>484</v>
      </c>
      <c r="E193" s="317">
        <v>1</v>
      </c>
      <c r="F193" s="318">
        <v>188.37</v>
      </c>
      <c r="G193" s="208">
        <f t="shared" si="8"/>
        <v>188.37</v>
      </c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</row>
    <row r="194" spans="1:34" s="209" customFormat="1" ht="22.5">
      <c r="A194" s="315"/>
      <c r="B194" s="315"/>
      <c r="C194" s="316" t="s">
        <v>686</v>
      </c>
      <c r="D194" s="315" t="s">
        <v>484</v>
      </c>
      <c r="E194" s="317">
        <v>1</v>
      </c>
      <c r="F194" s="318">
        <v>670.05</v>
      </c>
      <c r="G194" s="208">
        <f t="shared" si="8"/>
        <v>670.05</v>
      </c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</row>
    <row r="195" spans="1:34" s="209" customFormat="1" ht="22.5">
      <c r="A195" s="315"/>
      <c r="B195" s="315"/>
      <c r="C195" s="316" t="s">
        <v>687</v>
      </c>
      <c r="D195" s="315" t="s">
        <v>484</v>
      </c>
      <c r="E195" s="317">
        <v>1</v>
      </c>
      <c r="F195" s="318">
        <v>11.7</v>
      </c>
      <c r="G195" s="208">
        <f t="shared" si="8"/>
        <v>11.7</v>
      </c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</row>
    <row r="196" spans="1:34" s="209" customFormat="1" ht="22.5">
      <c r="A196" s="315"/>
      <c r="B196" s="315"/>
      <c r="C196" s="316" t="s">
        <v>688</v>
      </c>
      <c r="D196" s="315" t="s">
        <v>484</v>
      </c>
      <c r="E196" s="317">
        <v>1</v>
      </c>
      <c r="F196" s="318">
        <v>244</v>
      </c>
      <c r="G196" s="208">
        <f t="shared" si="8"/>
        <v>244</v>
      </c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</row>
    <row r="197" spans="1:34" s="209" customFormat="1" ht="33.75">
      <c r="A197" s="315"/>
      <c r="B197" s="315"/>
      <c r="C197" s="316" t="s">
        <v>689</v>
      </c>
      <c r="D197" s="315" t="s">
        <v>484</v>
      </c>
      <c r="E197" s="317">
        <v>1</v>
      </c>
      <c r="F197" s="320">
        <v>1763.11</v>
      </c>
      <c r="G197" s="208">
        <f t="shared" si="8"/>
        <v>1763.11</v>
      </c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</row>
    <row r="198" spans="1:34" s="327" customFormat="1" ht="12">
      <c r="A198" s="321"/>
      <c r="B198" s="321"/>
      <c r="C198" s="322" t="s">
        <v>690</v>
      </c>
      <c r="D198" s="321"/>
      <c r="E198" s="323"/>
      <c r="F198" s="324"/>
      <c r="G198" s="325">
        <f>SUM(G133:G197)</f>
        <v>85128.95</v>
      </c>
      <c r="H198" s="326"/>
      <c r="I198" s="326"/>
      <c r="J198" s="326"/>
      <c r="K198" s="326"/>
    </row>
    <row r="199" spans="1:34" s="182" customFormat="1" ht="19.899999999999999" customHeight="1">
      <c r="A199" s="257"/>
      <c r="B199" s="257"/>
      <c r="C199" s="328" t="s">
        <v>694</v>
      </c>
      <c r="D199" s="185"/>
      <c r="E199" s="186"/>
      <c r="F199" s="187"/>
      <c r="G199" s="329"/>
    </row>
    <row r="200" spans="1:34" s="182" customFormat="1" ht="24">
      <c r="A200" s="177" t="s">
        <v>122</v>
      </c>
      <c r="B200" s="177" t="s">
        <v>479</v>
      </c>
      <c r="C200" s="178" t="s">
        <v>695</v>
      </c>
      <c r="D200" s="179" t="s">
        <v>216</v>
      </c>
      <c r="E200" s="215">
        <v>15</v>
      </c>
      <c r="F200" s="216">
        <v>2411.61</v>
      </c>
      <c r="G200" s="114">
        <f t="shared" ref="G200" si="9">E200*F200</f>
        <v>36174.15</v>
      </c>
      <c r="H200" s="182" t="s">
        <v>530</v>
      </c>
    </row>
    <row r="201" spans="1:34" s="176" customFormat="1">
      <c r="A201" s="169"/>
      <c r="B201" s="170"/>
      <c r="C201" s="171" t="s">
        <v>691</v>
      </c>
      <c r="D201" s="232"/>
      <c r="E201" s="173"/>
      <c r="F201" s="174"/>
      <c r="G201" s="175">
        <f>SUM(G200)</f>
        <v>36174.15</v>
      </c>
    </row>
    <row r="202" spans="1:34" s="182" customFormat="1" ht="22.5">
      <c r="A202" s="183" t="s">
        <v>282</v>
      </c>
      <c r="B202" s="259" t="s">
        <v>278</v>
      </c>
      <c r="C202" s="271" t="s">
        <v>634</v>
      </c>
      <c r="D202" s="111"/>
      <c r="E202" s="111"/>
      <c r="F202" s="234"/>
      <c r="G202" s="114"/>
      <c r="H202" s="182" t="s">
        <v>530</v>
      </c>
    </row>
    <row r="203" spans="1:34" s="276" customFormat="1" ht="24">
      <c r="A203" s="272"/>
      <c r="B203" s="272"/>
      <c r="C203" s="332" t="s">
        <v>709</v>
      </c>
      <c r="D203" s="272" t="s">
        <v>9</v>
      </c>
      <c r="E203" s="272">
        <v>30</v>
      </c>
      <c r="F203" s="274">
        <v>5833.33</v>
      </c>
      <c r="G203" s="114">
        <f t="shared" ref="G203:G262" si="10">E203*F203</f>
        <v>174999.9</v>
      </c>
      <c r="H203" s="275"/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5"/>
      <c r="AE203" s="275"/>
      <c r="AF203" s="275"/>
      <c r="AG203" s="275"/>
      <c r="AH203" s="275"/>
    </row>
    <row r="204" spans="1:34" s="209" customFormat="1" ht="15">
      <c r="A204" s="333"/>
      <c r="B204" s="334"/>
      <c r="C204" s="334" t="s">
        <v>710</v>
      </c>
      <c r="D204" s="333" t="s">
        <v>484</v>
      </c>
      <c r="E204" s="335">
        <v>23</v>
      </c>
      <c r="F204" s="336">
        <v>19</v>
      </c>
      <c r="G204" s="114">
        <f t="shared" si="10"/>
        <v>437</v>
      </c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</row>
    <row r="205" spans="1:34" s="209" customFormat="1" ht="15">
      <c r="A205" s="333"/>
      <c r="B205" s="334"/>
      <c r="C205" s="334" t="s">
        <v>711</v>
      </c>
      <c r="D205" s="333" t="s">
        <v>484</v>
      </c>
      <c r="E205" s="335">
        <v>6</v>
      </c>
      <c r="F205" s="336">
        <v>30</v>
      </c>
      <c r="G205" s="114">
        <f t="shared" si="10"/>
        <v>180</v>
      </c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</row>
    <row r="206" spans="1:34" s="209" customFormat="1" ht="15">
      <c r="A206" s="333"/>
      <c r="B206" s="334"/>
      <c r="C206" s="334" t="s">
        <v>674</v>
      </c>
      <c r="D206" s="333" t="s">
        <v>484</v>
      </c>
      <c r="E206" s="335">
        <v>2</v>
      </c>
      <c r="F206" s="336">
        <v>290</v>
      </c>
      <c r="G206" s="114">
        <f t="shared" si="10"/>
        <v>580</v>
      </c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</row>
    <row r="207" spans="1:34" s="209" customFormat="1" ht="15">
      <c r="A207" s="333"/>
      <c r="B207" s="334"/>
      <c r="C207" s="334" t="s">
        <v>712</v>
      </c>
      <c r="D207" s="333" t="s">
        <v>292</v>
      </c>
      <c r="E207" s="335">
        <v>100</v>
      </c>
      <c r="F207" s="336">
        <v>27</v>
      </c>
      <c r="G207" s="114">
        <f t="shared" si="10"/>
        <v>2700</v>
      </c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</row>
    <row r="208" spans="1:34" s="209" customFormat="1" ht="15">
      <c r="A208" s="333"/>
      <c r="B208" s="334"/>
      <c r="C208" s="334" t="s">
        <v>713</v>
      </c>
      <c r="D208" s="333" t="s">
        <v>484</v>
      </c>
      <c r="E208" s="335">
        <v>1</v>
      </c>
      <c r="F208" s="336">
        <v>110</v>
      </c>
      <c r="G208" s="114">
        <f t="shared" si="10"/>
        <v>110</v>
      </c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</row>
    <row r="209" spans="1:34" s="209" customFormat="1" ht="15">
      <c r="A209" s="333"/>
      <c r="B209" s="334"/>
      <c r="C209" s="334" t="s">
        <v>714</v>
      </c>
      <c r="D209" s="333" t="s">
        <v>484</v>
      </c>
      <c r="E209" s="335">
        <v>58</v>
      </c>
      <c r="F209" s="336">
        <v>15</v>
      </c>
      <c r="G209" s="114">
        <f t="shared" si="10"/>
        <v>870</v>
      </c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</row>
    <row r="210" spans="1:34" s="209" customFormat="1" ht="15">
      <c r="A210" s="333"/>
      <c r="B210" s="334"/>
      <c r="C210" s="334" t="s">
        <v>715</v>
      </c>
      <c r="D210" s="333" t="s">
        <v>484</v>
      </c>
      <c r="E210" s="335">
        <v>3</v>
      </c>
      <c r="F210" s="336">
        <v>20</v>
      </c>
      <c r="G210" s="114">
        <f t="shared" si="10"/>
        <v>60</v>
      </c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</row>
    <row r="211" spans="1:34" s="209" customFormat="1" ht="15">
      <c r="A211" s="333"/>
      <c r="B211" s="334"/>
      <c r="C211" s="334" t="s">
        <v>716</v>
      </c>
      <c r="D211" s="333" t="s">
        <v>484</v>
      </c>
      <c r="E211" s="335">
        <v>50</v>
      </c>
      <c r="F211" s="336">
        <v>32</v>
      </c>
      <c r="G211" s="114">
        <f t="shared" si="10"/>
        <v>1600</v>
      </c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</row>
    <row r="212" spans="1:34" s="209" customFormat="1" ht="15">
      <c r="A212" s="333"/>
      <c r="B212" s="334"/>
      <c r="C212" s="334" t="s">
        <v>711</v>
      </c>
      <c r="D212" s="333" t="s">
        <v>484</v>
      </c>
      <c r="E212" s="335">
        <v>8</v>
      </c>
      <c r="F212" s="336">
        <v>30</v>
      </c>
      <c r="G212" s="114">
        <f t="shared" si="10"/>
        <v>240</v>
      </c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D212" s="337"/>
      <c r="AE212" s="337"/>
      <c r="AF212" s="337"/>
      <c r="AG212" s="337"/>
      <c r="AH212" s="337"/>
    </row>
    <row r="213" spans="1:34" s="209" customFormat="1" ht="15">
      <c r="A213" s="333"/>
      <c r="B213" s="334"/>
      <c r="C213" s="334" t="s">
        <v>472</v>
      </c>
      <c r="D213" s="333" t="s">
        <v>556</v>
      </c>
      <c r="E213" s="335">
        <v>5</v>
      </c>
      <c r="F213" s="336">
        <v>340</v>
      </c>
      <c r="G213" s="114">
        <f t="shared" si="10"/>
        <v>1700</v>
      </c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</row>
    <row r="214" spans="1:34" s="209" customFormat="1" ht="15">
      <c r="A214" s="333"/>
      <c r="B214" s="334"/>
      <c r="C214" s="334" t="s">
        <v>717</v>
      </c>
      <c r="D214" s="333" t="s">
        <v>484</v>
      </c>
      <c r="E214" s="335">
        <v>1</v>
      </c>
      <c r="F214" s="336">
        <v>145</v>
      </c>
      <c r="G214" s="114">
        <f t="shared" si="10"/>
        <v>145</v>
      </c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</row>
    <row r="215" spans="1:34" s="209" customFormat="1" ht="15">
      <c r="A215" s="333"/>
      <c r="B215" s="334"/>
      <c r="C215" s="334" t="s">
        <v>456</v>
      </c>
      <c r="D215" s="333" t="s">
        <v>484</v>
      </c>
      <c r="E215" s="335">
        <v>1</v>
      </c>
      <c r="F215" s="338">
        <v>2900</v>
      </c>
      <c r="G215" s="114">
        <f t="shared" si="10"/>
        <v>2900</v>
      </c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</row>
    <row r="216" spans="1:34" s="209" customFormat="1" ht="15">
      <c r="A216" s="333"/>
      <c r="B216" s="334"/>
      <c r="C216" s="334" t="s">
        <v>718</v>
      </c>
      <c r="D216" s="333" t="s">
        <v>484</v>
      </c>
      <c r="E216" s="335">
        <v>1</v>
      </c>
      <c r="F216" s="338">
        <v>1750</v>
      </c>
      <c r="G216" s="114">
        <f t="shared" si="10"/>
        <v>1750</v>
      </c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</row>
    <row r="217" spans="1:34" s="209" customFormat="1" ht="15">
      <c r="A217" s="339"/>
      <c r="B217" s="340"/>
      <c r="C217" s="340" t="s">
        <v>719</v>
      </c>
      <c r="D217" s="339" t="s">
        <v>556</v>
      </c>
      <c r="E217" s="341">
        <v>1</v>
      </c>
      <c r="F217" s="342">
        <v>167.7</v>
      </c>
      <c r="G217" s="114">
        <f t="shared" si="10"/>
        <v>167.7</v>
      </c>
      <c r="H217" s="343"/>
      <c r="I217" s="343"/>
      <c r="J217" s="343"/>
      <c r="K217" s="343"/>
      <c r="L217" s="343"/>
      <c r="M217" s="343"/>
      <c r="N217" s="343"/>
      <c r="O217" s="343"/>
      <c r="P217" s="343"/>
      <c r="Q217" s="343"/>
      <c r="R217" s="343"/>
      <c r="S217" s="343"/>
      <c r="T217" s="343"/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</row>
    <row r="218" spans="1:34" s="209" customFormat="1" ht="15">
      <c r="A218" s="339"/>
      <c r="B218" s="340"/>
      <c r="C218" s="340" t="s">
        <v>720</v>
      </c>
      <c r="D218" s="339" t="s">
        <v>556</v>
      </c>
      <c r="E218" s="341">
        <v>5</v>
      </c>
      <c r="F218" s="342">
        <v>190</v>
      </c>
      <c r="G218" s="114">
        <f t="shared" si="10"/>
        <v>950</v>
      </c>
      <c r="H218" s="343"/>
      <c r="I218" s="343"/>
      <c r="J218" s="343"/>
      <c r="K218" s="343"/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</row>
    <row r="219" spans="1:34" s="209" customFormat="1" ht="15">
      <c r="A219" s="339"/>
      <c r="B219" s="340"/>
      <c r="C219" s="340" t="s">
        <v>721</v>
      </c>
      <c r="D219" s="339" t="s">
        <v>292</v>
      </c>
      <c r="E219" s="341">
        <v>1</v>
      </c>
      <c r="F219" s="342">
        <v>100</v>
      </c>
      <c r="G219" s="114">
        <f t="shared" si="10"/>
        <v>100</v>
      </c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</row>
    <row r="220" spans="1:34" s="209" customFormat="1" ht="15">
      <c r="A220" s="339"/>
      <c r="B220" s="340"/>
      <c r="C220" s="340" t="s">
        <v>722</v>
      </c>
      <c r="D220" s="339" t="s">
        <v>484</v>
      </c>
      <c r="E220" s="341">
        <v>40</v>
      </c>
      <c r="F220" s="342">
        <v>38</v>
      </c>
      <c r="G220" s="114">
        <f t="shared" si="10"/>
        <v>1520</v>
      </c>
      <c r="H220" s="343"/>
      <c r="I220" s="343"/>
      <c r="J220" s="343"/>
      <c r="K220" s="343"/>
      <c r="L220" s="343"/>
      <c r="M220" s="343"/>
      <c r="N220" s="343"/>
      <c r="O220" s="343"/>
      <c r="P220" s="343"/>
      <c r="Q220" s="343"/>
      <c r="R220" s="343"/>
      <c r="S220" s="343"/>
      <c r="T220" s="343"/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43"/>
    </row>
    <row r="221" spans="1:34" s="209" customFormat="1" ht="15">
      <c r="A221" s="339"/>
      <c r="B221" s="340"/>
      <c r="C221" s="340" t="s">
        <v>723</v>
      </c>
      <c r="D221" s="339" t="s">
        <v>484</v>
      </c>
      <c r="E221" s="341">
        <v>10</v>
      </c>
      <c r="F221" s="342">
        <v>212</v>
      </c>
      <c r="G221" s="114">
        <f t="shared" si="10"/>
        <v>2120</v>
      </c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</row>
    <row r="222" spans="1:34" s="209" customFormat="1" ht="15">
      <c r="A222" s="339"/>
      <c r="B222" s="340"/>
      <c r="C222" s="340" t="s">
        <v>724</v>
      </c>
      <c r="D222" s="339" t="s">
        <v>484</v>
      </c>
      <c r="E222" s="341">
        <v>10</v>
      </c>
      <c r="F222" s="342">
        <v>145</v>
      </c>
      <c r="G222" s="114">
        <f t="shared" si="10"/>
        <v>1450</v>
      </c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</row>
    <row r="223" spans="1:34" s="209" customFormat="1" ht="15">
      <c r="A223" s="339"/>
      <c r="B223" s="340"/>
      <c r="C223" s="340" t="s">
        <v>725</v>
      </c>
      <c r="D223" s="339"/>
      <c r="E223" s="341">
        <v>10</v>
      </c>
      <c r="F223" s="342">
        <v>310</v>
      </c>
      <c r="G223" s="114">
        <f t="shared" si="10"/>
        <v>3100</v>
      </c>
      <c r="H223" s="343"/>
      <c r="I223" s="343"/>
      <c r="J223" s="343"/>
      <c r="K223" s="343"/>
      <c r="L223" s="343"/>
      <c r="M223" s="343"/>
      <c r="N223" s="343"/>
      <c r="O223" s="343"/>
      <c r="P223" s="343"/>
      <c r="Q223" s="343"/>
      <c r="R223" s="343"/>
      <c r="S223" s="343"/>
      <c r="T223" s="343"/>
      <c r="U223" s="343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43"/>
    </row>
    <row r="224" spans="1:34" s="209" customFormat="1" ht="15">
      <c r="A224" s="339"/>
      <c r="B224" s="340"/>
      <c r="C224" s="340" t="s">
        <v>726</v>
      </c>
      <c r="D224" s="339" t="s">
        <v>398</v>
      </c>
      <c r="E224" s="341">
        <v>4</v>
      </c>
      <c r="F224" s="342">
        <v>250</v>
      </c>
      <c r="G224" s="114">
        <f t="shared" si="10"/>
        <v>1000</v>
      </c>
      <c r="H224" s="343"/>
      <c r="I224" s="343"/>
      <c r="J224" s="343"/>
      <c r="K224" s="343"/>
      <c r="L224" s="343"/>
      <c r="M224" s="343"/>
      <c r="N224" s="343"/>
      <c r="O224" s="343"/>
      <c r="P224" s="343"/>
      <c r="Q224" s="343"/>
      <c r="R224" s="343"/>
      <c r="S224" s="343"/>
      <c r="T224" s="343"/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</row>
    <row r="225" spans="1:34" s="209" customFormat="1" ht="15">
      <c r="A225" s="339"/>
      <c r="B225" s="340"/>
      <c r="C225" s="340" t="s">
        <v>727</v>
      </c>
      <c r="D225" s="339" t="s">
        <v>398</v>
      </c>
      <c r="E225" s="341">
        <v>0.4</v>
      </c>
      <c r="F225" s="342">
        <v>225</v>
      </c>
      <c r="G225" s="114">
        <f t="shared" si="10"/>
        <v>90</v>
      </c>
      <c r="H225" s="343"/>
      <c r="I225" s="343"/>
      <c r="J225" s="343"/>
      <c r="K225" s="343"/>
      <c r="L225" s="343"/>
      <c r="M225" s="343"/>
      <c r="N225" s="343"/>
      <c r="O225" s="343"/>
      <c r="P225" s="343"/>
      <c r="Q225" s="343"/>
      <c r="R225" s="343"/>
      <c r="S225" s="343"/>
      <c r="T225" s="343"/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43"/>
    </row>
    <row r="226" spans="1:34" s="209" customFormat="1" ht="15">
      <c r="A226" s="339"/>
      <c r="B226" s="340"/>
      <c r="C226" s="340" t="s">
        <v>728</v>
      </c>
      <c r="D226" s="339" t="s">
        <v>556</v>
      </c>
      <c r="E226" s="341">
        <v>11</v>
      </c>
      <c r="F226" s="342">
        <v>60</v>
      </c>
      <c r="G226" s="114">
        <f t="shared" si="10"/>
        <v>660</v>
      </c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43"/>
    </row>
    <row r="227" spans="1:34" s="209" customFormat="1" ht="15">
      <c r="A227" s="339"/>
      <c r="B227" s="340"/>
      <c r="C227" s="340" t="s">
        <v>729</v>
      </c>
      <c r="D227" s="339" t="s">
        <v>484</v>
      </c>
      <c r="E227" s="341">
        <v>10</v>
      </c>
      <c r="F227" s="342">
        <v>28</v>
      </c>
      <c r="G227" s="114">
        <f t="shared" si="10"/>
        <v>280</v>
      </c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</row>
    <row r="228" spans="1:34" s="209" customFormat="1" ht="15">
      <c r="A228" s="339"/>
      <c r="B228" s="340"/>
      <c r="C228" s="340" t="s">
        <v>730</v>
      </c>
      <c r="D228" s="339" t="s">
        <v>484</v>
      </c>
      <c r="E228" s="341">
        <v>5</v>
      </c>
      <c r="F228" s="342">
        <v>65</v>
      </c>
      <c r="G228" s="114">
        <f t="shared" si="10"/>
        <v>325</v>
      </c>
      <c r="H228" s="343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43"/>
    </row>
    <row r="229" spans="1:34" s="209" customFormat="1" ht="15">
      <c r="A229" s="339"/>
      <c r="B229" s="340"/>
      <c r="C229" s="340" t="s">
        <v>731</v>
      </c>
      <c r="D229" s="339" t="s">
        <v>484</v>
      </c>
      <c r="E229" s="341">
        <v>12</v>
      </c>
      <c r="F229" s="342">
        <v>28</v>
      </c>
      <c r="G229" s="114">
        <f t="shared" si="10"/>
        <v>336</v>
      </c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</row>
    <row r="230" spans="1:34" s="209" customFormat="1" ht="15">
      <c r="A230" s="339"/>
      <c r="B230" s="340"/>
      <c r="C230" s="340" t="s">
        <v>732</v>
      </c>
      <c r="D230" s="339" t="s">
        <v>484</v>
      </c>
      <c r="E230" s="341">
        <v>80</v>
      </c>
      <c r="F230" s="342">
        <v>9</v>
      </c>
      <c r="G230" s="114">
        <f t="shared" si="10"/>
        <v>720</v>
      </c>
      <c r="H230" s="343"/>
      <c r="I230" s="343"/>
      <c r="J230" s="343"/>
      <c r="K230" s="343"/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43"/>
    </row>
    <row r="231" spans="1:34" s="209" customFormat="1" ht="15">
      <c r="A231" s="339"/>
      <c r="B231" s="340"/>
      <c r="C231" s="340" t="s">
        <v>719</v>
      </c>
      <c r="D231" s="339" t="s">
        <v>556</v>
      </c>
      <c r="E231" s="341">
        <v>3</v>
      </c>
      <c r="F231" s="342">
        <v>167.7</v>
      </c>
      <c r="G231" s="114">
        <f t="shared" si="10"/>
        <v>503.1</v>
      </c>
      <c r="H231" s="343"/>
      <c r="I231" s="343"/>
      <c r="J231" s="343"/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43"/>
    </row>
    <row r="232" spans="1:34" s="209" customFormat="1" ht="15">
      <c r="A232" s="339"/>
      <c r="B232" s="340"/>
      <c r="C232" s="340" t="s">
        <v>733</v>
      </c>
      <c r="D232" s="339" t="s">
        <v>484</v>
      </c>
      <c r="E232" s="341">
        <v>1</v>
      </c>
      <c r="F232" s="342">
        <v>130</v>
      </c>
      <c r="G232" s="114">
        <f t="shared" si="10"/>
        <v>130</v>
      </c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</row>
    <row r="233" spans="1:34" s="209" customFormat="1" ht="15">
      <c r="A233" s="339"/>
      <c r="B233" s="340"/>
      <c r="C233" s="340" t="s">
        <v>734</v>
      </c>
      <c r="D233" s="339" t="s">
        <v>484</v>
      </c>
      <c r="E233" s="341">
        <v>1</v>
      </c>
      <c r="F233" s="342">
        <v>60</v>
      </c>
      <c r="G233" s="114">
        <f t="shared" si="10"/>
        <v>60</v>
      </c>
      <c r="H233" s="343"/>
      <c r="I233" s="343"/>
      <c r="J233" s="343"/>
      <c r="K233" s="343"/>
      <c r="L233" s="343"/>
      <c r="M233" s="343"/>
      <c r="N233" s="343"/>
      <c r="O233" s="343"/>
      <c r="P233" s="343"/>
      <c r="Q233" s="343"/>
      <c r="R233" s="343"/>
      <c r="S233" s="343"/>
      <c r="T233" s="343"/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</row>
    <row r="234" spans="1:34" s="209" customFormat="1" ht="15">
      <c r="A234" s="339"/>
      <c r="B234" s="340"/>
      <c r="C234" s="340" t="s">
        <v>719</v>
      </c>
      <c r="D234" s="339" t="s">
        <v>556</v>
      </c>
      <c r="E234" s="341">
        <v>12</v>
      </c>
      <c r="F234" s="342">
        <v>167.7</v>
      </c>
      <c r="G234" s="114">
        <f t="shared" si="10"/>
        <v>2012.4</v>
      </c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</row>
    <row r="235" spans="1:34" s="209" customFormat="1" ht="15">
      <c r="A235" s="339"/>
      <c r="B235" s="340"/>
      <c r="C235" s="340" t="s">
        <v>719</v>
      </c>
      <c r="D235" s="339" t="s">
        <v>556</v>
      </c>
      <c r="E235" s="341">
        <v>9</v>
      </c>
      <c r="F235" s="342">
        <v>167.7</v>
      </c>
      <c r="G235" s="114">
        <f t="shared" si="10"/>
        <v>1509.3</v>
      </c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</row>
    <row r="236" spans="1:34" s="209" customFormat="1" ht="15">
      <c r="A236" s="339"/>
      <c r="B236" s="340"/>
      <c r="C236" s="340" t="s">
        <v>735</v>
      </c>
      <c r="D236" s="339" t="s">
        <v>736</v>
      </c>
      <c r="E236" s="341">
        <v>90</v>
      </c>
      <c r="F236" s="342">
        <v>28</v>
      </c>
      <c r="G236" s="114">
        <f t="shared" si="10"/>
        <v>2520</v>
      </c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</row>
    <row r="237" spans="1:34" s="209" customFormat="1" ht="15">
      <c r="A237" s="339"/>
      <c r="B237" s="340"/>
      <c r="C237" s="340" t="s">
        <v>737</v>
      </c>
      <c r="D237" s="339" t="s">
        <v>484</v>
      </c>
      <c r="E237" s="341">
        <v>2</v>
      </c>
      <c r="F237" s="342">
        <v>40</v>
      </c>
      <c r="G237" s="114">
        <f t="shared" si="10"/>
        <v>80</v>
      </c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</row>
    <row r="238" spans="1:34" s="209" customFormat="1" ht="15">
      <c r="A238" s="339"/>
      <c r="B238" s="340"/>
      <c r="C238" s="340" t="s">
        <v>738</v>
      </c>
      <c r="D238" s="339" t="s">
        <v>484</v>
      </c>
      <c r="E238" s="341">
        <v>1</v>
      </c>
      <c r="F238" s="344">
        <v>1080</v>
      </c>
      <c r="G238" s="114">
        <f t="shared" si="10"/>
        <v>1080</v>
      </c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</row>
    <row r="239" spans="1:34" s="209" customFormat="1" ht="15">
      <c r="A239" s="339"/>
      <c r="B239" s="340"/>
      <c r="C239" s="340" t="s">
        <v>738</v>
      </c>
      <c r="D239" s="339" t="s">
        <v>484</v>
      </c>
      <c r="E239" s="341">
        <v>1</v>
      </c>
      <c r="F239" s="344">
        <v>1080</v>
      </c>
      <c r="G239" s="114">
        <f t="shared" si="10"/>
        <v>1080</v>
      </c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</row>
    <row r="240" spans="1:34" s="209" customFormat="1" ht="15">
      <c r="A240" s="339"/>
      <c r="B240" s="340"/>
      <c r="C240" s="340" t="s">
        <v>739</v>
      </c>
      <c r="D240" s="339" t="s">
        <v>484</v>
      </c>
      <c r="E240" s="341">
        <v>4</v>
      </c>
      <c r="F240" s="342">
        <v>478</v>
      </c>
      <c r="G240" s="114">
        <f t="shared" si="10"/>
        <v>1912</v>
      </c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</row>
    <row r="241" spans="1:34" s="209" customFormat="1" ht="15">
      <c r="A241" s="339"/>
      <c r="B241" s="340"/>
      <c r="C241" s="340" t="s">
        <v>740</v>
      </c>
      <c r="D241" s="339" t="s">
        <v>484</v>
      </c>
      <c r="E241" s="341">
        <v>6</v>
      </c>
      <c r="F241" s="342">
        <v>55.43</v>
      </c>
      <c r="G241" s="114">
        <f t="shared" si="10"/>
        <v>332.58</v>
      </c>
      <c r="H241" s="343"/>
      <c r="I241" s="343"/>
      <c r="J241" s="343"/>
      <c r="K241" s="343"/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43"/>
      <c r="AA241" s="343"/>
      <c r="AB241" s="343"/>
      <c r="AC241" s="343"/>
      <c r="AD241" s="343"/>
      <c r="AE241" s="343"/>
      <c r="AF241" s="343"/>
      <c r="AG241" s="343"/>
      <c r="AH241" s="343"/>
    </row>
    <row r="242" spans="1:34" s="209" customFormat="1" ht="15">
      <c r="A242" s="339"/>
      <c r="B242" s="340"/>
      <c r="C242" s="340" t="s">
        <v>740</v>
      </c>
      <c r="D242" s="339" t="s">
        <v>484</v>
      </c>
      <c r="E242" s="341">
        <v>1</v>
      </c>
      <c r="F242" s="342">
        <v>55.43</v>
      </c>
      <c r="G242" s="114">
        <f t="shared" si="10"/>
        <v>55.43</v>
      </c>
      <c r="H242" s="343"/>
      <c r="I242" s="343"/>
      <c r="J242" s="343"/>
      <c r="K242" s="343"/>
      <c r="L242" s="343"/>
      <c r="M242" s="343"/>
      <c r="N242" s="343"/>
      <c r="O242" s="343"/>
      <c r="P242" s="343"/>
      <c r="Q242" s="343"/>
      <c r="R242" s="343"/>
      <c r="S242" s="343"/>
      <c r="T242" s="343"/>
      <c r="U242" s="343"/>
      <c r="V242" s="343"/>
      <c r="W242" s="343"/>
      <c r="X242" s="343"/>
      <c r="Y242" s="343"/>
      <c r="Z242" s="343"/>
      <c r="AA242" s="343"/>
      <c r="AB242" s="343"/>
      <c r="AC242" s="343"/>
      <c r="AD242" s="343"/>
      <c r="AE242" s="343"/>
      <c r="AF242" s="343"/>
      <c r="AG242" s="343"/>
      <c r="AH242" s="343"/>
    </row>
    <row r="243" spans="1:34" s="209" customFormat="1" ht="15">
      <c r="A243" s="339"/>
      <c r="B243" s="340"/>
      <c r="C243" s="340" t="s">
        <v>719</v>
      </c>
      <c r="D243" s="339" t="s">
        <v>556</v>
      </c>
      <c r="E243" s="341">
        <v>2</v>
      </c>
      <c r="F243" s="342">
        <v>167.71</v>
      </c>
      <c r="G243" s="114">
        <f t="shared" si="10"/>
        <v>335.42</v>
      </c>
      <c r="H243" s="343"/>
      <c r="I243" s="343"/>
      <c r="J243" s="343"/>
      <c r="K243" s="343"/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</row>
    <row r="244" spans="1:34" s="209" customFormat="1" ht="15">
      <c r="A244" s="339"/>
      <c r="B244" s="340"/>
      <c r="C244" s="340" t="s">
        <v>741</v>
      </c>
      <c r="D244" s="339" t="s">
        <v>484</v>
      </c>
      <c r="E244" s="341">
        <v>2</v>
      </c>
      <c r="F244" s="342">
        <v>53</v>
      </c>
      <c r="G244" s="114">
        <f t="shared" si="10"/>
        <v>106</v>
      </c>
      <c r="H244" s="343"/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43"/>
      <c r="AA244" s="343"/>
      <c r="AB244" s="343"/>
      <c r="AC244" s="343"/>
      <c r="AD244" s="343"/>
      <c r="AE244" s="343"/>
      <c r="AF244" s="343"/>
      <c r="AG244" s="343"/>
      <c r="AH244" s="343"/>
    </row>
    <row r="245" spans="1:34" s="209" customFormat="1" ht="15">
      <c r="A245" s="339"/>
      <c r="B245" s="340"/>
      <c r="C245" s="340" t="s">
        <v>742</v>
      </c>
      <c r="D245" s="339" t="s">
        <v>484</v>
      </c>
      <c r="E245" s="341">
        <v>3</v>
      </c>
      <c r="F245" s="342">
        <v>275</v>
      </c>
      <c r="G245" s="114">
        <f t="shared" si="10"/>
        <v>825</v>
      </c>
      <c r="H245" s="343"/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3"/>
      <c r="AC245" s="343"/>
      <c r="AD245" s="343"/>
      <c r="AE245" s="343"/>
      <c r="AF245" s="343"/>
      <c r="AG245" s="343"/>
      <c r="AH245" s="343"/>
    </row>
    <row r="246" spans="1:34" s="209" customFormat="1" ht="15">
      <c r="A246" s="339"/>
      <c r="B246" s="340"/>
      <c r="C246" s="340" t="s">
        <v>743</v>
      </c>
      <c r="D246" s="339" t="s">
        <v>484</v>
      </c>
      <c r="E246" s="341">
        <v>2</v>
      </c>
      <c r="F246" s="342">
        <v>65</v>
      </c>
      <c r="G246" s="114">
        <f t="shared" si="10"/>
        <v>130</v>
      </c>
      <c r="H246" s="343"/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43"/>
      <c r="AA246" s="343"/>
      <c r="AB246" s="343"/>
      <c r="AC246" s="343"/>
      <c r="AD246" s="343"/>
      <c r="AE246" s="343"/>
      <c r="AF246" s="343"/>
      <c r="AG246" s="343"/>
      <c r="AH246" s="343"/>
    </row>
    <row r="247" spans="1:34" s="209" customFormat="1" ht="15">
      <c r="A247" s="345"/>
      <c r="B247" s="346"/>
      <c r="C247" s="346" t="s">
        <v>744</v>
      </c>
      <c r="D247" s="345" t="s">
        <v>484</v>
      </c>
      <c r="E247" s="347">
        <v>1</v>
      </c>
      <c r="F247" s="348">
        <v>360</v>
      </c>
      <c r="G247" s="114">
        <f t="shared" si="10"/>
        <v>360</v>
      </c>
      <c r="H247" s="349"/>
      <c r="I247" s="349"/>
      <c r="J247" s="349"/>
      <c r="K247" s="349"/>
      <c r="L247" s="349"/>
      <c r="M247" s="349"/>
      <c r="N247" s="349"/>
      <c r="O247" s="349"/>
      <c r="P247" s="349"/>
      <c r="Q247" s="349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  <c r="AB247" s="349"/>
      <c r="AC247" s="349"/>
      <c r="AD247" s="349"/>
      <c r="AE247" s="349"/>
      <c r="AF247" s="349"/>
      <c r="AG247" s="349"/>
      <c r="AH247" s="349"/>
    </row>
    <row r="248" spans="1:34" s="209" customFormat="1" ht="15">
      <c r="A248" s="345"/>
      <c r="B248" s="346"/>
      <c r="C248" s="346" t="s">
        <v>745</v>
      </c>
      <c r="D248" s="345" t="s">
        <v>484</v>
      </c>
      <c r="E248" s="347">
        <v>3</v>
      </c>
      <c r="F248" s="348">
        <v>296</v>
      </c>
      <c r="G248" s="114">
        <f t="shared" si="10"/>
        <v>888</v>
      </c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  <c r="AB248" s="349"/>
      <c r="AC248" s="349"/>
      <c r="AD248" s="349"/>
      <c r="AE248" s="349"/>
      <c r="AF248" s="349"/>
      <c r="AG248" s="349"/>
      <c r="AH248" s="349"/>
    </row>
    <row r="249" spans="1:34" s="209" customFormat="1" ht="15">
      <c r="A249" s="345"/>
      <c r="B249" s="346"/>
      <c r="C249" s="346" t="s">
        <v>746</v>
      </c>
      <c r="D249" s="345" t="s">
        <v>398</v>
      </c>
      <c r="E249" s="347">
        <v>1</v>
      </c>
      <c r="F249" s="348">
        <v>640</v>
      </c>
      <c r="G249" s="114">
        <f t="shared" si="10"/>
        <v>640</v>
      </c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  <c r="AB249" s="349"/>
      <c r="AC249" s="349"/>
      <c r="AD249" s="349"/>
      <c r="AE249" s="349"/>
      <c r="AF249" s="349"/>
      <c r="AG249" s="349"/>
      <c r="AH249" s="349"/>
    </row>
    <row r="250" spans="1:34" s="209" customFormat="1" ht="15">
      <c r="A250" s="345"/>
      <c r="B250" s="346"/>
      <c r="C250" s="346" t="s">
        <v>747</v>
      </c>
      <c r="D250" s="345" t="s">
        <v>398</v>
      </c>
      <c r="E250" s="347">
        <v>1.35</v>
      </c>
      <c r="F250" s="348">
        <v>112.5</v>
      </c>
      <c r="G250" s="114">
        <f t="shared" si="10"/>
        <v>151.88</v>
      </c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  <c r="AB250" s="349"/>
      <c r="AC250" s="349"/>
      <c r="AD250" s="349"/>
      <c r="AE250" s="349"/>
      <c r="AF250" s="349"/>
      <c r="AG250" s="349"/>
      <c r="AH250" s="349"/>
    </row>
    <row r="251" spans="1:34" s="209" customFormat="1" ht="15">
      <c r="A251" s="345"/>
      <c r="B251" s="346"/>
      <c r="C251" s="346" t="s">
        <v>747</v>
      </c>
      <c r="D251" s="345" t="s">
        <v>398</v>
      </c>
      <c r="E251" s="347">
        <v>0.45</v>
      </c>
      <c r="F251" s="348">
        <v>112.49</v>
      </c>
      <c r="G251" s="114">
        <f t="shared" si="10"/>
        <v>50.62</v>
      </c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  <c r="AB251" s="349"/>
      <c r="AC251" s="349"/>
      <c r="AD251" s="349"/>
      <c r="AE251" s="349"/>
      <c r="AF251" s="349"/>
      <c r="AG251" s="349"/>
      <c r="AH251" s="349"/>
    </row>
    <row r="252" spans="1:34" s="209" customFormat="1" ht="15">
      <c r="A252" s="345"/>
      <c r="B252" s="346"/>
      <c r="C252" s="346" t="s">
        <v>748</v>
      </c>
      <c r="D252" s="345" t="s">
        <v>484</v>
      </c>
      <c r="E252" s="347">
        <v>1</v>
      </c>
      <c r="F252" s="348">
        <v>318</v>
      </c>
      <c r="G252" s="114">
        <f t="shared" si="10"/>
        <v>318</v>
      </c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  <c r="AB252" s="349"/>
      <c r="AC252" s="349"/>
      <c r="AD252" s="349"/>
      <c r="AE252" s="349"/>
      <c r="AF252" s="349"/>
      <c r="AG252" s="349"/>
      <c r="AH252" s="349"/>
    </row>
    <row r="253" spans="1:34" s="209" customFormat="1" ht="15">
      <c r="A253" s="345"/>
      <c r="B253" s="346"/>
      <c r="C253" s="346" t="s">
        <v>749</v>
      </c>
      <c r="D253" s="345" t="s">
        <v>484</v>
      </c>
      <c r="E253" s="347">
        <v>1</v>
      </c>
      <c r="F253" s="348">
        <v>160</v>
      </c>
      <c r="G253" s="114">
        <f t="shared" si="10"/>
        <v>160</v>
      </c>
      <c r="H253" s="349"/>
      <c r="I253" s="349"/>
      <c r="J253" s="349"/>
      <c r="K253" s="349"/>
      <c r="L253" s="349"/>
      <c r="M253" s="349"/>
      <c r="N253" s="349"/>
      <c r="O253" s="349"/>
      <c r="P253" s="349"/>
      <c r="Q253" s="349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  <c r="AB253" s="349"/>
      <c r="AC253" s="349"/>
      <c r="AD253" s="349"/>
      <c r="AE253" s="349"/>
      <c r="AF253" s="349"/>
      <c r="AG253" s="349"/>
      <c r="AH253" s="349"/>
    </row>
    <row r="254" spans="1:34" s="209" customFormat="1" ht="15">
      <c r="A254" s="345"/>
      <c r="B254" s="346"/>
      <c r="C254" s="346" t="s">
        <v>750</v>
      </c>
      <c r="D254" s="345" t="s">
        <v>398</v>
      </c>
      <c r="E254" s="347">
        <v>0.26500000000000001</v>
      </c>
      <c r="F254" s="348">
        <v>310</v>
      </c>
      <c r="G254" s="114">
        <f t="shared" si="10"/>
        <v>82.15</v>
      </c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  <c r="AB254" s="349"/>
      <c r="AC254" s="349"/>
      <c r="AD254" s="349"/>
      <c r="AE254" s="349"/>
      <c r="AF254" s="349"/>
      <c r="AG254" s="349"/>
      <c r="AH254" s="349"/>
    </row>
    <row r="255" spans="1:34" s="209" customFormat="1" ht="15">
      <c r="A255" s="345"/>
      <c r="B255" s="346"/>
      <c r="C255" s="346" t="s">
        <v>751</v>
      </c>
      <c r="D255" s="345" t="s">
        <v>484</v>
      </c>
      <c r="E255" s="347">
        <v>1</v>
      </c>
      <c r="F255" s="348">
        <v>106</v>
      </c>
      <c r="G255" s="114">
        <f t="shared" si="10"/>
        <v>106</v>
      </c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  <c r="AE255" s="349"/>
      <c r="AF255" s="349"/>
      <c r="AG255" s="349"/>
      <c r="AH255" s="349"/>
    </row>
    <row r="256" spans="1:34" s="209" customFormat="1" ht="15">
      <c r="A256" s="345"/>
      <c r="B256" s="346"/>
      <c r="C256" s="346" t="s">
        <v>752</v>
      </c>
      <c r="D256" s="345" t="s">
        <v>484</v>
      </c>
      <c r="E256" s="347">
        <v>2</v>
      </c>
      <c r="F256" s="348">
        <v>22</v>
      </c>
      <c r="G256" s="114">
        <f t="shared" si="10"/>
        <v>44</v>
      </c>
      <c r="H256" s="349"/>
      <c r="I256" s="349"/>
      <c r="J256" s="349"/>
      <c r="K256" s="349"/>
      <c r="L256" s="349"/>
      <c r="M256" s="349"/>
      <c r="N256" s="349"/>
      <c r="O256" s="349"/>
      <c r="P256" s="349"/>
      <c r="Q256" s="349"/>
      <c r="R256" s="349"/>
      <c r="S256" s="349"/>
      <c r="T256" s="349"/>
      <c r="U256" s="349"/>
      <c r="V256" s="349"/>
      <c r="W256" s="349"/>
      <c r="X256" s="349"/>
      <c r="Y256" s="349"/>
      <c r="Z256" s="349"/>
      <c r="AA256" s="349"/>
      <c r="AB256" s="349"/>
      <c r="AC256" s="349"/>
      <c r="AD256" s="349"/>
      <c r="AE256" s="349"/>
      <c r="AF256" s="349"/>
      <c r="AG256" s="349"/>
      <c r="AH256" s="349"/>
    </row>
    <row r="257" spans="1:34" s="209" customFormat="1" ht="15">
      <c r="A257" s="345"/>
      <c r="B257" s="346"/>
      <c r="C257" s="346" t="s">
        <v>753</v>
      </c>
      <c r="D257" s="345" t="s">
        <v>398</v>
      </c>
      <c r="E257" s="347">
        <v>0.4</v>
      </c>
      <c r="F257" s="348">
        <v>300</v>
      </c>
      <c r="G257" s="114">
        <f t="shared" si="10"/>
        <v>120</v>
      </c>
      <c r="H257" s="349"/>
      <c r="I257" s="349"/>
      <c r="J257" s="349"/>
      <c r="K257" s="349"/>
      <c r="L257" s="349"/>
      <c r="M257" s="349"/>
      <c r="N257" s="349"/>
      <c r="O257" s="349"/>
      <c r="P257" s="349"/>
      <c r="Q257" s="349"/>
      <c r="R257" s="349"/>
      <c r="S257" s="349"/>
      <c r="T257" s="349"/>
      <c r="U257" s="349"/>
      <c r="V257" s="349"/>
      <c r="W257" s="349"/>
      <c r="X257" s="349"/>
      <c r="Y257" s="349"/>
      <c r="Z257" s="349"/>
      <c r="AA257" s="349"/>
      <c r="AB257" s="349"/>
      <c r="AC257" s="349"/>
      <c r="AD257" s="349"/>
      <c r="AE257" s="349"/>
      <c r="AF257" s="349"/>
      <c r="AG257" s="349"/>
      <c r="AH257" s="349"/>
    </row>
    <row r="258" spans="1:34" s="209" customFormat="1" ht="15">
      <c r="A258" s="345"/>
      <c r="B258" s="346"/>
      <c r="C258" s="346" t="s">
        <v>754</v>
      </c>
      <c r="D258" s="345" t="s">
        <v>292</v>
      </c>
      <c r="E258" s="347">
        <v>5</v>
      </c>
      <c r="F258" s="348">
        <v>242</v>
      </c>
      <c r="G258" s="114">
        <f t="shared" si="10"/>
        <v>1210</v>
      </c>
      <c r="H258" s="349"/>
      <c r="I258" s="349"/>
      <c r="J258" s="349"/>
      <c r="K258" s="349"/>
      <c r="L258" s="34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  <c r="AE258" s="349"/>
      <c r="AF258" s="349"/>
      <c r="AG258" s="349"/>
      <c r="AH258" s="349"/>
    </row>
    <row r="259" spans="1:34" s="209" customFormat="1" ht="15">
      <c r="A259" s="345"/>
      <c r="B259" s="346"/>
      <c r="C259" s="346" t="s">
        <v>755</v>
      </c>
      <c r="D259" s="345" t="s">
        <v>484</v>
      </c>
      <c r="E259" s="347">
        <v>1</v>
      </c>
      <c r="F259" s="348">
        <v>270</v>
      </c>
      <c r="G259" s="114">
        <f t="shared" si="10"/>
        <v>270</v>
      </c>
      <c r="H259" s="349"/>
      <c r="I259" s="349"/>
      <c r="J259" s="349"/>
      <c r="K259" s="349"/>
      <c r="L259" s="349"/>
      <c r="M259" s="349"/>
      <c r="N259" s="349"/>
      <c r="O259" s="349"/>
      <c r="P259" s="349"/>
      <c r="Q259" s="349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  <c r="AB259" s="349"/>
      <c r="AC259" s="349"/>
      <c r="AD259" s="349"/>
      <c r="AE259" s="349"/>
      <c r="AF259" s="349"/>
      <c r="AG259" s="349"/>
      <c r="AH259" s="349"/>
    </row>
    <row r="260" spans="1:34" s="209" customFormat="1" ht="22.5">
      <c r="A260" s="345"/>
      <c r="B260" s="346"/>
      <c r="C260" s="346" t="s">
        <v>756</v>
      </c>
      <c r="D260" s="345" t="s">
        <v>484</v>
      </c>
      <c r="E260" s="347">
        <v>1</v>
      </c>
      <c r="F260" s="348">
        <v>30</v>
      </c>
      <c r="G260" s="114">
        <f t="shared" si="10"/>
        <v>30</v>
      </c>
      <c r="H260" s="349"/>
      <c r="I260" s="349"/>
      <c r="J260" s="349"/>
      <c r="K260" s="349"/>
      <c r="L260" s="349"/>
      <c r="M260" s="349"/>
      <c r="N260" s="349"/>
      <c r="O260" s="349"/>
      <c r="P260" s="349"/>
      <c r="Q260" s="349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  <c r="AE260" s="349"/>
      <c r="AF260" s="349"/>
      <c r="AG260" s="349"/>
      <c r="AH260" s="349"/>
    </row>
    <row r="261" spans="1:34" s="209" customFormat="1" ht="15">
      <c r="A261" s="345"/>
      <c r="B261" s="346"/>
      <c r="C261" s="346" t="s">
        <v>757</v>
      </c>
      <c r="D261" s="345" t="s">
        <v>484</v>
      </c>
      <c r="E261" s="347">
        <v>2</v>
      </c>
      <c r="F261" s="348">
        <v>10</v>
      </c>
      <c r="G261" s="114">
        <f t="shared" si="10"/>
        <v>20</v>
      </c>
      <c r="H261" s="349"/>
      <c r="I261" s="349"/>
      <c r="J261" s="349"/>
      <c r="K261" s="349"/>
      <c r="L261" s="349"/>
      <c r="M261" s="349"/>
      <c r="N261" s="349"/>
      <c r="O261" s="349"/>
      <c r="P261" s="349"/>
      <c r="Q261" s="349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  <c r="AB261" s="349"/>
      <c r="AC261" s="349"/>
      <c r="AD261" s="349"/>
      <c r="AE261" s="349"/>
      <c r="AF261" s="349"/>
      <c r="AG261" s="349"/>
      <c r="AH261" s="349"/>
    </row>
    <row r="262" spans="1:34" s="209" customFormat="1" ht="15">
      <c r="A262" s="345"/>
      <c r="B262" s="346"/>
      <c r="C262" s="346" t="s">
        <v>758</v>
      </c>
      <c r="D262" s="345" t="s">
        <v>484</v>
      </c>
      <c r="E262" s="347">
        <v>6</v>
      </c>
      <c r="F262" s="350">
        <v>1450</v>
      </c>
      <c r="G262" s="114">
        <f t="shared" si="10"/>
        <v>8700</v>
      </c>
      <c r="H262" s="349"/>
      <c r="I262" s="349"/>
      <c r="J262" s="349"/>
      <c r="K262" s="349"/>
      <c r="L262" s="349"/>
      <c r="M262" s="349"/>
      <c r="N262" s="349"/>
      <c r="O262" s="349"/>
      <c r="P262" s="349"/>
      <c r="Q262" s="349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  <c r="AB262" s="349"/>
      <c r="AC262" s="349"/>
      <c r="AD262" s="349"/>
      <c r="AE262" s="349"/>
      <c r="AF262" s="349"/>
      <c r="AG262" s="349"/>
      <c r="AH262" s="349"/>
    </row>
    <row r="263" spans="1:34" s="327" customFormat="1" ht="12">
      <c r="A263" s="321"/>
      <c r="B263" s="321"/>
      <c r="C263" s="322" t="s">
        <v>759</v>
      </c>
      <c r="D263" s="321"/>
      <c r="E263" s="323"/>
      <c r="F263" s="324"/>
      <c r="G263" s="325">
        <f>SUM(G203:G262)</f>
        <v>226912.48</v>
      </c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</row>
    <row r="264" spans="1:34" s="32" customFormat="1">
      <c r="A264" s="25"/>
      <c r="B264" s="26"/>
      <c r="C264" s="27" t="s">
        <v>311</v>
      </c>
      <c r="D264" s="28"/>
      <c r="E264" s="29"/>
      <c r="F264" s="30"/>
      <c r="G264" s="31">
        <f>G29+G41+G55+G76+G94+G105+G111+G131+G198+G201+G263</f>
        <v>5696058.3499999996</v>
      </c>
    </row>
    <row r="265" spans="1:34" s="32" customFormat="1">
      <c r="A265" s="101"/>
      <c r="B265" s="102"/>
      <c r="C265" s="103"/>
      <c r="D265" s="104"/>
      <c r="E265" s="105"/>
      <c r="F265" s="106"/>
      <c r="G265" s="107"/>
    </row>
  </sheetData>
  <mergeCells count="23">
    <mergeCell ref="D15:D16"/>
    <mergeCell ref="E15:E16"/>
    <mergeCell ref="F15:G15"/>
    <mergeCell ref="B19:E19"/>
    <mergeCell ref="C10:D10"/>
    <mergeCell ref="E10:G10"/>
    <mergeCell ref="E11:G11"/>
    <mergeCell ref="E12:G12"/>
    <mergeCell ref="C13:D13"/>
    <mergeCell ref="E13:G13"/>
    <mergeCell ref="A7:C7"/>
    <mergeCell ref="E7:G7"/>
    <mergeCell ref="A8:C8"/>
    <mergeCell ref="E8:G8"/>
    <mergeCell ref="A9:C9"/>
    <mergeCell ref="E9:G9"/>
    <mergeCell ref="A6:C6"/>
    <mergeCell ref="E6:G6"/>
    <mergeCell ref="D1:G1"/>
    <mergeCell ref="D2:G2"/>
    <mergeCell ref="D3:G3"/>
    <mergeCell ref="C4:D5"/>
    <mergeCell ref="E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opLeftCell="A15" workbookViewId="0">
      <selection activeCell="J24" sqref="J24"/>
    </sheetView>
  </sheetViews>
  <sheetFormatPr defaultColWidth="9.140625" defaultRowHeight="12.75"/>
  <cols>
    <col min="1" max="1" width="3.42578125" style="2" customWidth="1"/>
    <col min="2" max="2" width="12.7109375" style="10" customWidth="1"/>
    <col min="3" max="3" width="36.140625" style="100" customWidth="1"/>
    <col min="4" max="4" width="8" style="11" customWidth="1"/>
    <col min="5" max="5" width="11.85546875" style="4" customWidth="1"/>
    <col min="6" max="6" width="10.5703125" style="3" customWidth="1"/>
    <col min="7" max="7" width="11.7109375" style="1" customWidth="1"/>
    <col min="8" max="8" width="9.140625" style="1"/>
    <col min="9" max="9" width="14.5703125" style="1" customWidth="1"/>
    <col min="10" max="16384" width="9.140625" style="1"/>
  </cols>
  <sheetData>
    <row r="1" spans="1:7" customFormat="1" ht="15">
      <c r="A1" s="34"/>
      <c r="B1" s="34"/>
      <c r="C1" s="35"/>
      <c r="D1" s="412" t="s">
        <v>25</v>
      </c>
      <c r="E1" s="412"/>
      <c r="F1" s="412"/>
      <c r="G1" s="412"/>
    </row>
    <row r="2" spans="1:7" customFormat="1" ht="15">
      <c r="A2" s="34"/>
      <c r="B2" s="34"/>
      <c r="C2" s="35"/>
      <c r="D2" s="412" t="s">
        <v>26</v>
      </c>
      <c r="E2" s="412"/>
      <c r="F2" s="412"/>
      <c r="G2" s="412"/>
    </row>
    <row r="3" spans="1:7" customFormat="1" ht="15">
      <c r="A3" s="34"/>
      <c r="B3" s="34"/>
      <c r="C3" s="35"/>
      <c r="D3" s="412" t="s">
        <v>27</v>
      </c>
      <c r="E3" s="412"/>
      <c r="F3" s="412"/>
      <c r="G3" s="412"/>
    </row>
    <row r="4" spans="1:7" customFormat="1" ht="15">
      <c r="A4" s="36"/>
      <c r="B4" s="37"/>
      <c r="C4" s="413" t="s">
        <v>28</v>
      </c>
      <c r="D4" s="414"/>
      <c r="E4" s="141"/>
      <c r="F4" s="142" t="s">
        <v>29</v>
      </c>
      <c r="G4" s="143"/>
    </row>
    <row r="5" spans="1:7" customFormat="1" ht="15">
      <c r="A5" s="36"/>
      <c r="B5" s="37"/>
      <c r="C5" s="413"/>
      <c r="D5" s="414"/>
      <c r="E5" s="415" t="s">
        <v>30</v>
      </c>
      <c r="F5" s="416"/>
      <c r="G5" s="417"/>
    </row>
    <row r="6" spans="1:7" customFormat="1" ht="15">
      <c r="A6" s="407" t="s">
        <v>31</v>
      </c>
      <c r="B6" s="408"/>
      <c r="C6" s="408"/>
      <c r="D6" s="140" t="s">
        <v>32</v>
      </c>
      <c r="E6" s="409"/>
      <c r="F6" s="410"/>
      <c r="G6" s="411"/>
    </row>
    <row r="7" spans="1:7" customFormat="1" ht="15">
      <c r="A7" s="408" t="s">
        <v>33</v>
      </c>
      <c r="B7" s="408"/>
      <c r="C7" s="408"/>
      <c r="D7" s="140" t="s">
        <v>32</v>
      </c>
      <c r="E7" s="418"/>
      <c r="F7" s="418"/>
      <c r="G7" s="418"/>
    </row>
    <row r="8" spans="1:7" customFormat="1" ht="15">
      <c r="A8" s="408" t="s">
        <v>168</v>
      </c>
      <c r="B8" s="408"/>
      <c r="C8" s="408"/>
      <c r="D8" s="140" t="s">
        <v>32</v>
      </c>
      <c r="E8" s="418"/>
      <c r="F8" s="418"/>
      <c r="G8" s="418"/>
    </row>
    <row r="9" spans="1:7" customFormat="1" ht="15">
      <c r="A9" s="419" t="s">
        <v>117</v>
      </c>
      <c r="B9" s="419"/>
      <c r="C9" s="419"/>
      <c r="D9" s="35" t="s">
        <v>34</v>
      </c>
      <c r="E9" s="418"/>
      <c r="F9" s="418"/>
      <c r="G9" s="418"/>
    </row>
    <row r="10" spans="1:7" customFormat="1" ht="15">
      <c r="A10" s="36"/>
      <c r="B10" s="144"/>
      <c r="C10" s="413" t="s">
        <v>35</v>
      </c>
      <c r="D10" s="414"/>
      <c r="E10" s="415"/>
      <c r="F10" s="416"/>
      <c r="G10" s="417"/>
    </row>
    <row r="11" spans="1:7" customFormat="1" ht="15">
      <c r="A11" s="36"/>
      <c r="B11" s="144"/>
      <c r="C11" s="38" t="s">
        <v>36</v>
      </c>
      <c r="D11" s="39" t="s">
        <v>37</v>
      </c>
      <c r="E11" s="415" t="s">
        <v>47</v>
      </c>
      <c r="F11" s="416"/>
      <c r="G11" s="417"/>
    </row>
    <row r="12" spans="1:7" customFormat="1" ht="15">
      <c r="A12" s="36"/>
      <c r="B12" s="35"/>
      <c r="C12" s="40"/>
      <c r="D12" s="39" t="s">
        <v>38</v>
      </c>
      <c r="E12" s="415" t="s">
        <v>113</v>
      </c>
      <c r="F12" s="416"/>
      <c r="G12" s="417"/>
    </row>
    <row r="13" spans="1:7" customFormat="1" ht="15">
      <c r="A13" s="36"/>
      <c r="B13" s="35"/>
      <c r="C13" s="420" t="s">
        <v>39</v>
      </c>
      <c r="D13" s="414"/>
      <c r="E13" s="415"/>
      <c r="F13" s="416"/>
      <c r="G13" s="417"/>
    </row>
    <row r="14" spans="1:7" customFormat="1" ht="15">
      <c r="A14" s="34"/>
      <c r="B14" s="35"/>
      <c r="C14" s="40"/>
      <c r="D14" s="41"/>
      <c r="E14" s="34"/>
      <c r="F14" s="145"/>
      <c r="G14" s="145"/>
    </row>
    <row r="15" spans="1:7" customFormat="1" ht="15">
      <c r="A15" s="34"/>
      <c r="B15" s="34"/>
      <c r="C15" s="34"/>
      <c r="D15" s="421" t="s">
        <v>40</v>
      </c>
      <c r="E15" s="421" t="s">
        <v>41</v>
      </c>
      <c r="F15" s="424" t="s">
        <v>42</v>
      </c>
      <c r="G15" s="425"/>
    </row>
    <row r="16" spans="1:7" customFormat="1" ht="15">
      <c r="A16" s="34"/>
      <c r="B16" s="34"/>
      <c r="C16" s="42"/>
      <c r="D16" s="422"/>
      <c r="E16" s="422"/>
      <c r="F16" s="43" t="s">
        <v>43</v>
      </c>
      <c r="G16" s="43" t="s">
        <v>44</v>
      </c>
    </row>
    <row r="17" spans="1:10" customFormat="1" ht="15">
      <c r="A17" s="34"/>
      <c r="B17" s="34"/>
      <c r="C17" s="44"/>
      <c r="D17" s="45" t="s">
        <v>45</v>
      </c>
      <c r="E17" s="52" t="s">
        <v>359</v>
      </c>
      <c r="F17" s="52" t="s">
        <v>360</v>
      </c>
      <c r="G17" s="52" t="s">
        <v>361</v>
      </c>
    </row>
    <row r="18" spans="1:10" customFormat="1" ht="15">
      <c r="A18" s="47"/>
      <c r="B18" s="48"/>
      <c r="C18" s="146" t="s">
        <v>46</v>
      </c>
      <c r="D18" s="49"/>
      <c r="E18" s="47"/>
      <c r="F18" s="50"/>
      <c r="G18" s="51"/>
    </row>
    <row r="19" spans="1:10" customFormat="1" ht="15">
      <c r="A19" s="47"/>
      <c r="B19" s="426" t="s">
        <v>362</v>
      </c>
      <c r="C19" s="426"/>
      <c r="D19" s="426"/>
      <c r="E19" s="426"/>
      <c r="F19" s="50"/>
      <c r="G19" s="51"/>
    </row>
    <row r="20" spans="1:10" ht="48">
      <c r="A20" s="5" t="s">
        <v>0</v>
      </c>
      <c r="B20" s="5" t="s">
        <v>20</v>
      </c>
      <c r="C20" s="6" t="s">
        <v>1</v>
      </c>
      <c r="D20" s="6" t="s">
        <v>2</v>
      </c>
      <c r="E20" s="6" t="s">
        <v>21</v>
      </c>
      <c r="F20" s="7" t="s">
        <v>23</v>
      </c>
      <c r="G20" s="7" t="s">
        <v>22</v>
      </c>
    </row>
    <row r="21" spans="1:10" s="24" customFormat="1" ht="11.25">
      <c r="A21" s="18">
        <v>1</v>
      </c>
      <c r="B21" s="19">
        <v>2</v>
      </c>
      <c r="C21" s="20">
        <v>3</v>
      </c>
      <c r="D21" s="20">
        <v>4</v>
      </c>
      <c r="E21" s="21">
        <v>5</v>
      </c>
      <c r="F21" s="22">
        <v>6</v>
      </c>
      <c r="G21" s="23">
        <v>7</v>
      </c>
    </row>
    <row r="22" spans="1:10" s="24" customFormat="1" ht="48">
      <c r="A22" s="18"/>
      <c r="B22" s="19"/>
      <c r="C22" s="147" t="s">
        <v>370</v>
      </c>
      <c r="D22" s="20"/>
      <c r="E22" s="21"/>
      <c r="F22" s="22"/>
      <c r="G22" s="23"/>
    </row>
    <row r="23" spans="1:10" s="161" customFormat="1" ht="60">
      <c r="A23" s="8" t="s">
        <v>152</v>
      </c>
      <c r="B23" s="12" t="s">
        <v>363</v>
      </c>
      <c r="C23" s="9" t="s">
        <v>364</v>
      </c>
      <c r="D23" s="13" t="s">
        <v>14</v>
      </c>
      <c r="E23" s="13">
        <f>0.37+0.77+0.14</f>
        <v>1.28</v>
      </c>
      <c r="F23" s="15">
        <v>22993.94</v>
      </c>
      <c r="G23" s="14">
        <f t="shared" ref="G23:G25" si="0">E23*F23</f>
        <v>29432.243200000001</v>
      </c>
      <c r="H23" s="161" t="s">
        <v>313</v>
      </c>
      <c r="J23" s="161">
        <f>E23+E28+E42</f>
        <v>6.15</v>
      </c>
    </row>
    <row r="24" spans="1:10" s="161" customFormat="1" ht="48">
      <c r="A24" s="8" t="s">
        <v>173</v>
      </c>
      <c r="B24" s="12" t="s">
        <v>365</v>
      </c>
      <c r="C24" s="9" t="s">
        <v>366</v>
      </c>
      <c r="D24" s="13" t="s">
        <v>367</v>
      </c>
      <c r="E24" s="13">
        <v>7.0000000000000007E-2</v>
      </c>
      <c r="F24" s="15">
        <v>5058.75</v>
      </c>
      <c r="G24" s="14">
        <f t="shared" si="0"/>
        <v>354.11250000000001</v>
      </c>
      <c r="H24" s="161" t="s">
        <v>313</v>
      </c>
    </row>
    <row r="25" spans="1:10" s="161" customFormat="1" ht="48">
      <c r="A25" s="8" t="s">
        <v>177</v>
      </c>
      <c r="B25" s="12" t="s">
        <v>368</v>
      </c>
      <c r="C25" s="9" t="s">
        <v>369</v>
      </c>
      <c r="D25" s="13" t="s">
        <v>367</v>
      </c>
      <c r="E25" s="13">
        <f>(26+14+18)/100</f>
        <v>0.57999999999999996</v>
      </c>
      <c r="F25" s="162">
        <v>78813.08</v>
      </c>
      <c r="G25" s="14">
        <f t="shared" si="0"/>
        <v>45711.5864</v>
      </c>
      <c r="H25" s="161" t="s">
        <v>313</v>
      </c>
    </row>
    <row r="26" spans="1:10" s="117" customFormat="1">
      <c r="A26" s="118"/>
      <c r="B26" s="119"/>
      <c r="C26" s="120" t="s">
        <v>315</v>
      </c>
      <c r="D26" s="121"/>
      <c r="E26" s="122"/>
      <c r="F26" s="123"/>
      <c r="G26" s="124">
        <f>SUM(G23:G25)</f>
        <v>75497.94</v>
      </c>
    </row>
    <row r="27" spans="1:10" s="161" customFormat="1" ht="24">
      <c r="A27" s="8"/>
      <c r="B27" s="12" t="s">
        <v>388</v>
      </c>
      <c r="C27" s="9" t="s">
        <v>389</v>
      </c>
      <c r="D27" s="13" t="s">
        <v>390</v>
      </c>
      <c r="E27" s="13">
        <v>12.75</v>
      </c>
      <c r="F27" s="162">
        <v>1620.65</v>
      </c>
      <c r="G27" s="16">
        <f t="shared" ref="G27:G36" si="1">E27*F27</f>
        <v>20663.29</v>
      </c>
      <c r="H27" s="161" t="s">
        <v>371</v>
      </c>
    </row>
    <row r="28" spans="1:10" s="161" customFormat="1" ht="60">
      <c r="A28" s="8"/>
      <c r="B28" s="12" t="s">
        <v>363</v>
      </c>
      <c r="C28" s="9" t="s">
        <v>364</v>
      </c>
      <c r="D28" s="13" t="s">
        <v>14</v>
      </c>
      <c r="E28" s="13">
        <f>1.24+1.4+1.2+0.73</f>
        <v>4.57</v>
      </c>
      <c r="F28" s="15">
        <v>22993.94</v>
      </c>
      <c r="G28" s="16">
        <f t="shared" si="1"/>
        <v>105082.31</v>
      </c>
      <c r="H28" s="161" t="s">
        <v>371</v>
      </c>
    </row>
    <row r="29" spans="1:10" s="161" customFormat="1" ht="48">
      <c r="A29" s="8"/>
      <c r="B29" s="12" t="s">
        <v>391</v>
      </c>
      <c r="C29" s="9" t="s">
        <v>392</v>
      </c>
      <c r="D29" s="13" t="s">
        <v>4</v>
      </c>
      <c r="E29" s="13">
        <v>1.5</v>
      </c>
      <c r="F29" s="15">
        <v>52981.9</v>
      </c>
      <c r="G29" s="16">
        <f t="shared" si="1"/>
        <v>79472.850000000006</v>
      </c>
      <c r="H29" s="161" t="s">
        <v>371</v>
      </c>
    </row>
    <row r="30" spans="1:10" s="161" customFormat="1" ht="48">
      <c r="A30" s="8"/>
      <c r="B30" s="12" t="s">
        <v>365</v>
      </c>
      <c r="C30" s="9" t="s">
        <v>366</v>
      </c>
      <c r="D30" s="13" t="s">
        <v>367</v>
      </c>
      <c r="E30" s="13">
        <f>(30+15+7+12)/100</f>
        <v>0.64</v>
      </c>
      <c r="F30" s="15">
        <v>5058.75</v>
      </c>
      <c r="G30" s="16">
        <f t="shared" si="1"/>
        <v>3237.6</v>
      </c>
      <c r="H30" s="161" t="s">
        <v>371</v>
      </c>
    </row>
    <row r="31" spans="1:10" s="161" customFormat="1" ht="48">
      <c r="A31" s="8"/>
      <c r="B31" s="12" t="s">
        <v>368</v>
      </c>
      <c r="C31" s="9" t="s">
        <v>369</v>
      </c>
      <c r="D31" s="13" t="s">
        <v>367</v>
      </c>
      <c r="E31" s="13">
        <v>0.24</v>
      </c>
      <c r="F31" s="162">
        <v>78813.08</v>
      </c>
      <c r="G31" s="16">
        <f t="shared" si="1"/>
        <v>18915.14</v>
      </c>
      <c r="H31" s="161" t="s">
        <v>371</v>
      </c>
    </row>
    <row r="32" spans="1:10">
      <c r="A32" s="154"/>
      <c r="B32" s="157" t="s">
        <v>278</v>
      </c>
      <c r="C32" s="9" t="s">
        <v>393</v>
      </c>
      <c r="D32" s="153" t="s">
        <v>9</v>
      </c>
      <c r="E32" s="160">
        <f>3.9+2.34</f>
        <v>6.24</v>
      </c>
      <c r="F32" s="14">
        <v>17265</v>
      </c>
      <c r="G32" s="16">
        <f t="shared" si="1"/>
        <v>107733.6</v>
      </c>
      <c r="H32" s="161" t="s">
        <v>371</v>
      </c>
    </row>
    <row r="33" spans="1:11">
      <c r="A33" s="154"/>
      <c r="B33" s="157" t="s">
        <v>278</v>
      </c>
      <c r="C33" s="9" t="s">
        <v>394</v>
      </c>
      <c r="D33" s="153" t="s">
        <v>395</v>
      </c>
      <c r="E33" s="160">
        <f>10.72+19.24</f>
        <v>29.96</v>
      </c>
      <c r="F33" s="14">
        <v>1500</v>
      </c>
      <c r="G33" s="16">
        <f t="shared" si="1"/>
        <v>44940</v>
      </c>
      <c r="H33" s="161" t="s">
        <v>371</v>
      </c>
    </row>
    <row r="34" spans="1:11">
      <c r="A34" s="154"/>
      <c r="B34" s="157" t="s">
        <v>278</v>
      </c>
      <c r="C34" s="9" t="s">
        <v>396</v>
      </c>
      <c r="D34" s="153" t="s">
        <v>395</v>
      </c>
      <c r="E34" s="160">
        <f>14.9+9.98+11</f>
        <v>35.880000000000003</v>
      </c>
      <c r="F34" s="14">
        <v>1050</v>
      </c>
      <c r="G34" s="16">
        <f t="shared" si="1"/>
        <v>37674</v>
      </c>
      <c r="H34" s="161" t="s">
        <v>371</v>
      </c>
    </row>
    <row r="35" spans="1:11" ht="24">
      <c r="A35" s="154"/>
      <c r="B35" s="157" t="s">
        <v>278</v>
      </c>
      <c r="C35" s="9" t="s">
        <v>397</v>
      </c>
      <c r="D35" s="153" t="s">
        <v>398</v>
      </c>
      <c r="E35" s="160">
        <v>290</v>
      </c>
      <c r="F35" s="14">
        <v>89</v>
      </c>
      <c r="G35" s="16">
        <f t="shared" si="1"/>
        <v>25810</v>
      </c>
      <c r="H35" s="161" t="s">
        <v>371</v>
      </c>
    </row>
    <row r="36" spans="1:11" ht="24">
      <c r="A36" s="154"/>
      <c r="B36" s="157" t="s">
        <v>278</v>
      </c>
      <c r="C36" s="9" t="s">
        <v>399</v>
      </c>
      <c r="D36" s="153" t="s">
        <v>398</v>
      </c>
      <c r="E36" s="160">
        <v>290</v>
      </c>
      <c r="F36" s="14">
        <v>96</v>
      </c>
      <c r="G36" s="16">
        <f t="shared" si="1"/>
        <v>27840</v>
      </c>
      <c r="H36" s="161" t="s">
        <v>371</v>
      </c>
    </row>
    <row r="37" spans="1:11" s="117" customFormat="1">
      <c r="A37" s="118"/>
      <c r="B37" s="119"/>
      <c r="C37" s="120" t="s">
        <v>372</v>
      </c>
      <c r="D37" s="121"/>
      <c r="E37" s="122"/>
      <c r="F37" s="123"/>
      <c r="G37" s="124">
        <f>SUM(G27:G36)</f>
        <v>471368.79</v>
      </c>
    </row>
    <row r="38" spans="1:11" s="219" customFormat="1" ht="48">
      <c r="A38" s="108"/>
      <c r="B38" s="109" t="s">
        <v>368</v>
      </c>
      <c r="C38" s="110" t="s">
        <v>369</v>
      </c>
      <c r="D38" s="111" t="s">
        <v>367</v>
      </c>
      <c r="E38" s="111">
        <v>0.14000000000000001</v>
      </c>
      <c r="F38" s="221">
        <v>78813.08</v>
      </c>
      <c r="G38" s="114">
        <f t="shared" ref="G38:G40" si="2">E38*F38</f>
        <v>11033.83</v>
      </c>
      <c r="H38" s="219" t="s">
        <v>476</v>
      </c>
    </row>
    <row r="39" spans="1:11" s="115" customFormat="1" ht="24">
      <c r="A39" s="183"/>
      <c r="B39" s="184" t="s">
        <v>278</v>
      </c>
      <c r="C39" s="110" t="s">
        <v>397</v>
      </c>
      <c r="D39" s="190" t="s">
        <v>398</v>
      </c>
      <c r="E39" s="220">
        <v>18</v>
      </c>
      <c r="F39" s="113">
        <v>89</v>
      </c>
      <c r="G39" s="114">
        <f t="shared" si="2"/>
        <v>1602</v>
      </c>
      <c r="H39" s="115" t="s">
        <v>476</v>
      </c>
    </row>
    <row r="40" spans="1:11" s="115" customFormat="1" ht="24">
      <c r="A40" s="183"/>
      <c r="B40" s="184" t="s">
        <v>278</v>
      </c>
      <c r="C40" s="110" t="s">
        <v>399</v>
      </c>
      <c r="D40" s="190" t="s">
        <v>398</v>
      </c>
      <c r="E40" s="220">
        <v>27</v>
      </c>
      <c r="F40" s="113">
        <v>96</v>
      </c>
      <c r="G40" s="114">
        <f t="shared" si="2"/>
        <v>2592</v>
      </c>
      <c r="H40" s="115" t="s">
        <v>476</v>
      </c>
    </row>
    <row r="41" spans="1:11" s="176" customFormat="1">
      <c r="A41" s="169"/>
      <c r="B41" s="170"/>
      <c r="C41" s="171" t="s">
        <v>477</v>
      </c>
      <c r="D41" s="172"/>
      <c r="E41" s="173"/>
      <c r="F41" s="174"/>
      <c r="G41" s="175">
        <f>SUM(G38:G40)</f>
        <v>15227.83</v>
      </c>
    </row>
    <row r="42" spans="1:11" s="219" customFormat="1" ht="60">
      <c r="A42" s="108" t="s">
        <v>302</v>
      </c>
      <c r="B42" s="109" t="s">
        <v>363</v>
      </c>
      <c r="C42" s="110" t="s">
        <v>364</v>
      </c>
      <c r="D42" s="111" t="s">
        <v>14</v>
      </c>
      <c r="E42" s="111">
        <v>0.3</v>
      </c>
      <c r="F42" s="112">
        <v>22993.94</v>
      </c>
      <c r="G42" s="114">
        <f t="shared" ref="G42:G46" si="3">E42*F42</f>
        <v>6898.18</v>
      </c>
      <c r="H42" s="219" t="s">
        <v>567</v>
      </c>
    </row>
    <row r="43" spans="1:11" s="219" customFormat="1" ht="60">
      <c r="A43" s="108" t="s">
        <v>304</v>
      </c>
      <c r="B43" s="109" t="s">
        <v>482</v>
      </c>
      <c r="C43" s="110" t="s">
        <v>609</v>
      </c>
      <c r="D43" s="111" t="s">
        <v>484</v>
      </c>
      <c r="E43" s="111">
        <v>6</v>
      </c>
      <c r="F43" s="112">
        <v>4006.49</v>
      </c>
      <c r="G43" s="114">
        <f t="shared" si="3"/>
        <v>24038.94</v>
      </c>
      <c r="H43" s="219" t="s">
        <v>567</v>
      </c>
    </row>
    <row r="44" spans="1:11" s="209" customFormat="1" ht="22.5">
      <c r="A44" s="108" t="s">
        <v>306</v>
      </c>
      <c r="B44" s="259" t="s">
        <v>278</v>
      </c>
      <c r="C44" s="260" t="s">
        <v>610</v>
      </c>
      <c r="D44" s="261" t="s">
        <v>484</v>
      </c>
      <c r="E44" s="262">
        <v>1</v>
      </c>
      <c r="F44" s="263">
        <v>995</v>
      </c>
      <c r="G44" s="208">
        <f t="shared" si="3"/>
        <v>995</v>
      </c>
      <c r="H44" s="264" t="s">
        <v>567</v>
      </c>
      <c r="I44" s="264"/>
      <c r="J44" s="264"/>
      <c r="K44" s="264"/>
    </row>
    <row r="45" spans="1:11" s="209" customFormat="1" ht="22.5">
      <c r="A45" s="108" t="s">
        <v>564</v>
      </c>
      <c r="B45" s="259" t="s">
        <v>278</v>
      </c>
      <c r="C45" s="260" t="s">
        <v>611</v>
      </c>
      <c r="D45" s="261" t="s">
        <v>484</v>
      </c>
      <c r="E45" s="262">
        <v>1</v>
      </c>
      <c r="F45" s="263">
        <v>998</v>
      </c>
      <c r="G45" s="208">
        <f t="shared" si="3"/>
        <v>998</v>
      </c>
      <c r="H45" s="264" t="s">
        <v>567</v>
      </c>
      <c r="I45" s="264"/>
      <c r="J45" s="264"/>
      <c r="K45" s="264"/>
    </row>
    <row r="46" spans="1:11" s="209" customFormat="1" ht="22.5">
      <c r="A46" s="108" t="s">
        <v>612</v>
      </c>
      <c r="B46" s="259" t="s">
        <v>278</v>
      </c>
      <c r="C46" s="260" t="s">
        <v>613</v>
      </c>
      <c r="D46" s="261" t="s">
        <v>484</v>
      </c>
      <c r="E46" s="262">
        <v>1</v>
      </c>
      <c r="F46" s="265">
        <v>1259</v>
      </c>
      <c r="G46" s="208">
        <f t="shared" si="3"/>
        <v>1259</v>
      </c>
      <c r="H46" s="264" t="s">
        <v>567</v>
      </c>
      <c r="I46" s="264"/>
      <c r="J46" s="264"/>
      <c r="K46" s="264"/>
    </row>
    <row r="47" spans="1:11" s="176" customFormat="1">
      <c r="A47" s="169"/>
      <c r="B47" s="170"/>
      <c r="C47" s="171" t="s">
        <v>568</v>
      </c>
      <c r="D47" s="172"/>
      <c r="E47" s="173"/>
      <c r="F47" s="174"/>
      <c r="G47" s="175">
        <f>SUM(G42:G46)</f>
        <v>34189.120000000003</v>
      </c>
    </row>
    <row r="48" spans="1:11" s="32" customFormat="1">
      <c r="A48" s="25"/>
      <c r="B48" s="26"/>
      <c r="C48" s="27" t="s">
        <v>51</v>
      </c>
      <c r="D48" s="28"/>
      <c r="E48" s="29"/>
      <c r="F48" s="30"/>
      <c r="G48" s="31">
        <f>G26+G37+G41+G47</f>
        <v>596283.68000000005</v>
      </c>
    </row>
    <row r="49" spans="1:7" s="32" customFormat="1">
      <c r="A49" s="101"/>
      <c r="B49" s="102"/>
      <c r="C49" s="103"/>
      <c r="D49" s="104"/>
      <c r="E49" s="105"/>
      <c r="F49" s="106"/>
      <c r="G49" s="107"/>
    </row>
    <row r="50" spans="1:7" s="32" customFormat="1">
      <c r="A50" s="101"/>
      <c r="B50" s="102"/>
      <c r="C50" s="103"/>
      <c r="D50" s="104"/>
      <c r="E50" s="105"/>
      <c r="F50" s="106"/>
      <c r="G50" s="107"/>
    </row>
    <row r="51" spans="1:7" customFormat="1" ht="15">
      <c r="B51" s="487" t="s">
        <v>52</v>
      </c>
      <c r="C51" s="487"/>
      <c r="D51" s="488"/>
    </row>
    <row r="52" spans="1:7" s="53" customFormat="1" ht="15">
      <c r="B52" s="489" t="s">
        <v>53</v>
      </c>
      <c r="C52" s="489"/>
      <c r="D52" s="490"/>
      <c r="E52" s="490"/>
      <c r="F52" s="490"/>
      <c r="G52" s="490"/>
    </row>
    <row r="53" spans="1:7" s="55" customFormat="1">
      <c r="A53" s="54"/>
      <c r="B53" s="486"/>
      <c r="C53" s="486"/>
      <c r="D53" s="486"/>
      <c r="E53" s="486"/>
      <c r="F53" s="486"/>
      <c r="G53" s="486"/>
    </row>
    <row r="54" spans="1:7" customFormat="1" ht="15">
      <c r="B54" s="487" t="s">
        <v>54</v>
      </c>
      <c r="C54" s="487"/>
      <c r="D54" s="1"/>
    </row>
    <row r="55" spans="1:7" customFormat="1" ht="15">
      <c r="B55" s="487" t="s">
        <v>135</v>
      </c>
      <c r="C55" s="487"/>
      <c r="D55" s="488"/>
      <c r="E55" s="488"/>
      <c r="F55" s="488"/>
      <c r="G55" s="488"/>
    </row>
  </sheetData>
  <mergeCells count="28">
    <mergeCell ref="B53:G53"/>
    <mergeCell ref="B54:C54"/>
    <mergeCell ref="B55:G55"/>
    <mergeCell ref="D15:D16"/>
    <mergeCell ref="E15:E16"/>
    <mergeCell ref="F15:G15"/>
    <mergeCell ref="B19:E19"/>
    <mergeCell ref="B51:D51"/>
    <mergeCell ref="B52:G52"/>
    <mergeCell ref="C10:D10"/>
    <mergeCell ref="E10:G10"/>
    <mergeCell ref="E11:G11"/>
    <mergeCell ref="E12:G12"/>
    <mergeCell ref="C13:D13"/>
    <mergeCell ref="E13:G13"/>
    <mergeCell ref="A7:C7"/>
    <mergeCell ref="E7:G7"/>
    <mergeCell ref="A8:C8"/>
    <mergeCell ref="E8:G8"/>
    <mergeCell ref="A9:C9"/>
    <mergeCell ref="E9:G9"/>
    <mergeCell ref="A6:C6"/>
    <mergeCell ref="E6:G6"/>
    <mergeCell ref="D1:G1"/>
    <mergeCell ref="D2:G2"/>
    <mergeCell ref="D3:G3"/>
    <mergeCell ref="C4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в отчет</vt:lpstr>
      <vt:lpstr>основные объемы</vt:lpstr>
      <vt:lpstr>кс-3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Buravleva</dc:creator>
  <cp:lastModifiedBy>User</cp:lastModifiedBy>
  <cp:lastPrinted>2019-02-05T05:52:29Z</cp:lastPrinted>
  <dcterms:created xsi:type="dcterms:W3CDTF">2018-04-04T19:14:34Z</dcterms:created>
  <dcterms:modified xsi:type="dcterms:W3CDTF">2019-02-05T12:20:26Z</dcterms:modified>
</cp:coreProperties>
</file>